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 tabRatio="802"/>
  </bookViews>
  <sheets>
    <sheet name="1. Coleta Domiciliar Ajust" sheetId="21" r:id="rId1"/>
    <sheet name="2.Encargos Sociais Ajust" sheetId="22" r:id="rId2"/>
    <sheet name="3.CAGED" sheetId="5" r:id="rId3"/>
    <sheet name="4.BDI Ajus" sheetId="24" r:id="rId4"/>
    <sheet name="Ton" sheetId="10" r:id="rId5"/>
    <sheet name="6. Depreciação" sheetId="6" r:id="rId6"/>
    <sheet name="7.Remuneração de capital" sheetId="7" r:id="rId7"/>
    <sheet name="8. Dimensionamento" sheetId="9" r:id="rId8"/>
  </sheets>
  <definedNames>
    <definedName name="AbaDeprec">'6. Depreciação'!$A$1</definedName>
    <definedName name="AbaRemun" localSheetId="4">#REF!</definedName>
    <definedName name="AbaRemun">'7.Remuneração de capital'!$A$1</definedName>
    <definedName name="_xlnm.Print_Area" localSheetId="0">'1. Coleta Domiciliar Ajust'!$A$1:$F$282</definedName>
    <definedName name="_xlnm.Print_Area" localSheetId="1">'2.Encargos Sociais Ajust'!$A$1:$C$40</definedName>
    <definedName name="_xlnm.Print_Titles" localSheetId="0">'1. Coleta Domiciliar Ajust'!$1:$1</definedName>
  </definedNames>
  <calcPr calcId="144525"/>
</workbook>
</file>

<file path=xl/calcChain.xml><?xml version="1.0" encoding="utf-8"?>
<calcChain xmlns="http://schemas.openxmlformats.org/spreadsheetml/2006/main">
  <c r="C87" i="21" l="1"/>
  <c r="D180" i="21" l="1"/>
  <c r="C21" i="24" l="1"/>
  <c r="F14" i="24"/>
  <c r="E14" i="24"/>
  <c r="D14" i="24"/>
  <c r="C21" i="22"/>
  <c r="C18" i="22"/>
  <c r="C254" i="21"/>
  <c r="C256" i="21" s="1"/>
  <c r="E256" i="21" s="1"/>
  <c r="D257" i="21" s="1"/>
  <c r="E257" i="21" s="1"/>
  <c r="E246" i="21"/>
  <c r="E245" i="21"/>
  <c r="E244" i="21"/>
  <c r="E243" i="21"/>
  <c r="E242" i="21"/>
  <c r="C233" i="21"/>
  <c r="C231" i="21"/>
  <c r="E231" i="21" s="1"/>
  <c r="E229" i="21"/>
  <c r="D218" i="21"/>
  <c r="D216" i="21"/>
  <c r="D214" i="21"/>
  <c r="D212" i="21"/>
  <c r="D210" i="21"/>
  <c r="D208" i="21"/>
  <c r="C208" i="21"/>
  <c r="C224" i="21" s="1"/>
  <c r="E224" i="21" s="1"/>
  <c r="F225" i="21" s="1"/>
  <c r="E21" i="21" s="1"/>
  <c r="C198" i="21"/>
  <c r="E198" i="21" s="1"/>
  <c r="C197" i="21"/>
  <c r="E197" i="21" s="1"/>
  <c r="C196" i="21"/>
  <c r="C191" i="21"/>
  <c r="C186" i="21"/>
  <c r="D185" i="21"/>
  <c r="E180" i="21"/>
  <c r="C173" i="21"/>
  <c r="C172" i="21"/>
  <c r="C169" i="21"/>
  <c r="E169" i="21" s="1"/>
  <c r="C168" i="21"/>
  <c r="C167" i="21"/>
  <c r="E164" i="21"/>
  <c r="D167" i="21" s="1"/>
  <c r="D152" i="21"/>
  <c r="E152" i="21" s="1"/>
  <c r="E151" i="21"/>
  <c r="D150" i="21"/>
  <c r="E150" i="21" s="1"/>
  <c r="D149" i="21"/>
  <c r="C149" i="21"/>
  <c r="D148" i="21"/>
  <c r="C148" i="21"/>
  <c r="D147" i="21"/>
  <c r="C147" i="21"/>
  <c r="D146" i="21"/>
  <c r="C146" i="21"/>
  <c r="E139" i="21"/>
  <c r="E138" i="21"/>
  <c r="E137" i="21"/>
  <c r="E136" i="21"/>
  <c r="E135" i="21"/>
  <c r="E134" i="21"/>
  <c r="E133" i="21"/>
  <c r="E132" i="21"/>
  <c r="E131" i="21"/>
  <c r="E130" i="21"/>
  <c r="E129" i="21"/>
  <c r="E112" i="21"/>
  <c r="D107" i="21"/>
  <c r="C107" i="21"/>
  <c r="D104" i="21"/>
  <c r="C104" i="21"/>
  <c r="D102" i="21"/>
  <c r="E102" i="21" s="1"/>
  <c r="D101" i="21"/>
  <c r="C101" i="21"/>
  <c r="D99" i="21"/>
  <c r="E99" i="21" s="1"/>
  <c r="D98" i="21"/>
  <c r="E98" i="21" s="1"/>
  <c r="C98" i="21"/>
  <c r="D96" i="21"/>
  <c r="E95" i="21"/>
  <c r="D82" i="21"/>
  <c r="E82" i="21" s="1"/>
  <c r="D81" i="21"/>
  <c r="E81" i="21" s="1"/>
  <c r="E79" i="21"/>
  <c r="C70" i="21"/>
  <c r="C68" i="21"/>
  <c r="C65" i="21"/>
  <c r="C62" i="21"/>
  <c r="D60" i="21"/>
  <c r="D68" i="21" s="1"/>
  <c r="D49" i="21"/>
  <c r="E49" i="21" s="1"/>
  <c r="D48" i="21"/>
  <c r="E48" i="21" s="1"/>
  <c r="E47" i="21"/>
  <c r="A38" i="21"/>
  <c r="E33" i="21"/>
  <c r="A33" i="21"/>
  <c r="E32" i="21"/>
  <c r="A32" i="21"/>
  <c r="A31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A10" i="21"/>
  <c r="A9" i="21"/>
  <c r="A8" i="21"/>
  <c r="D232" i="21" l="1"/>
  <c r="E232" i="21" s="1"/>
  <c r="D233" i="21" s="1"/>
  <c r="E233" i="21" s="1"/>
  <c r="F234" i="21" s="1"/>
  <c r="E22" i="21" s="1"/>
  <c r="E101" i="21"/>
  <c r="E35" i="21"/>
  <c r="C153" i="21"/>
  <c r="D140" i="21"/>
  <c r="E146" i="21"/>
  <c r="E148" i="21"/>
  <c r="F247" i="21"/>
  <c r="F249" i="21" s="1"/>
  <c r="E23" i="21" s="1"/>
  <c r="D50" i="21"/>
  <c r="E50" i="21" s="1"/>
  <c r="D51" i="21" s="1"/>
  <c r="E51" i="21" s="1"/>
  <c r="E52" i="21" s="1"/>
  <c r="E107" i="21"/>
  <c r="E104" i="21"/>
  <c r="E147" i="21"/>
  <c r="E149" i="21"/>
  <c r="E167" i="21"/>
  <c r="D168" i="21" s="1"/>
  <c r="E168" i="21" s="1"/>
  <c r="D219" i="21"/>
  <c r="C267" i="21"/>
  <c r="D83" i="21"/>
  <c r="E83" i="21" s="1"/>
  <c r="D85" i="21" s="1"/>
  <c r="E85" i="21" s="1"/>
  <c r="E172" i="21"/>
  <c r="D173" i="21" s="1"/>
  <c r="E173" i="21" s="1"/>
  <c r="C187" i="21"/>
  <c r="E68" i="21"/>
  <c r="E118" i="21"/>
  <c r="C140" i="21"/>
  <c r="C182" i="21"/>
  <c r="C185" i="21"/>
  <c r="E185" i="21" s="1"/>
  <c r="C210" i="21"/>
  <c r="C214" i="21"/>
  <c r="E214" i="21" s="1"/>
  <c r="C218" i="21"/>
  <c r="E218" i="21" s="1"/>
  <c r="E254" i="21"/>
  <c r="D255" i="21" s="1"/>
  <c r="E255" i="21" s="1"/>
  <c r="D65" i="21"/>
  <c r="E65" i="21" s="1"/>
  <c r="D66" i="21"/>
  <c r="E66" i="21" s="1"/>
  <c r="E60" i="21"/>
  <c r="D62" i="21"/>
  <c r="E62" i="21" s="1"/>
  <c r="D63" i="21"/>
  <c r="E63" i="21" s="1"/>
  <c r="E117" i="21"/>
  <c r="E208" i="21"/>
  <c r="C212" i="21"/>
  <c r="E212" i="21" s="1"/>
  <c r="D105" i="21" l="1"/>
  <c r="E105" i="21" s="1"/>
  <c r="E108" i="21"/>
  <c r="D109" i="21" s="1"/>
  <c r="D153" i="21"/>
  <c r="E153" i="21" s="1"/>
  <c r="E140" i="21"/>
  <c r="F119" i="21"/>
  <c r="E13" i="21" s="1"/>
  <c r="E174" i="21"/>
  <c r="D175" i="21" s="1"/>
  <c r="E175" i="21" s="1"/>
  <c r="E86" i="21"/>
  <c r="D87" i="21" s="1"/>
  <c r="D53" i="21"/>
  <c r="D69" i="21"/>
  <c r="E69" i="21" s="1"/>
  <c r="D189" i="21"/>
  <c r="E189" i="21" s="1"/>
  <c r="C216" i="21"/>
  <c r="E216" i="21" s="1"/>
  <c r="E210" i="21"/>
  <c r="D196" i="21"/>
  <c r="E196" i="21" s="1"/>
  <c r="D199" i="21" s="1"/>
  <c r="E199" i="21" s="1"/>
  <c r="D184" i="21"/>
  <c r="E184" i="21" s="1"/>
  <c r="E190" i="21" l="1"/>
  <c r="D191" i="21" s="1"/>
  <c r="E191" i="21" s="1"/>
  <c r="F220" i="21"/>
  <c r="E20" i="21" s="1"/>
  <c r="D70" i="21"/>
  <c r="E70" i="21" s="1"/>
  <c r="E71" i="21" s="1"/>
  <c r="C9" i="10"/>
  <c r="D72" i="21" l="1"/>
  <c r="F154" i="21" l="1"/>
  <c r="E192" i="21" l="1"/>
  <c r="F176" i="21"/>
  <c r="E141" i="21" l="1"/>
  <c r="F141" i="21" s="1"/>
  <c r="F156" i="21" s="1"/>
  <c r="E14" i="21" s="1"/>
  <c r="E56" i="21"/>
  <c r="E75" i="21"/>
  <c r="E17" i="21"/>
  <c r="E200" i="21"/>
  <c r="F192" i="21"/>
  <c r="E18" i="21" s="1"/>
  <c r="C22" i="9"/>
  <c r="E258" i="21" l="1"/>
  <c r="F258" i="21" s="1"/>
  <c r="F260" i="21" s="1"/>
  <c r="E24" i="21" s="1"/>
  <c r="F200" i="21"/>
  <c r="C27" i="5"/>
  <c r="E19" i="21" l="1"/>
  <c r="F237" i="21"/>
  <c r="E15" i="21" s="1"/>
  <c r="E16" i="21" l="1"/>
  <c r="C15" i="9" l="1"/>
  <c r="C18" i="9" l="1"/>
  <c r="C23" i="9" s="1"/>
  <c r="C25" i="9" s="1"/>
  <c r="C29" i="5" l="1"/>
  <c r="C31" i="5" l="1"/>
  <c r="C30" i="5"/>
  <c r="C32" i="5" l="1"/>
  <c r="C37" i="5"/>
  <c r="C26" i="22" l="1"/>
  <c r="C33" i="22" l="1"/>
  <c r="C37" i="22"/>
  <c r="C38" i="22" l="1"/>
  <c r="C53" i="21" s="1"/>
  <c r="E53" i="21" s="1"/>
  <c r="E54" i="21" s="1"/>
  <c r="D55" i="21" s="1"/>
  <c r="E55" i="21" s="1"/>
  <c r="F56" i="21" s="1"/>
  <c r="C72" i="21"/>
  <c r="E72" i="21" s="1"/>
  <c r="E73" i="21" s="1"/>
  <c r="D74" i="21" s="1"/>
  <c r="E74" i="21" s="1"/>
  <c r="F75" i="21" s="1"/>
  <c r="E10" i="21" s="1"/>
  <c r="C109" i="21" l="1"/>
  <c r="E109" i="21" s="1"/>
  <c r="E110" i="21" s="1"/>
  <c r="D111" i="21" s="1"/>
  <c r="E111" i="21" s="1"/>
  <c r="F112" i="21" s="1"/>
  <c r="E12" i="21" s="1"/>
  <c r="E87" i="21"/>
  <c r="E88" i="21" s="1"/>
  <c r="D89" i="21" s="1"/>
  <c r="E89" i="21" s="1"/>
  <c r="F90" i="21" s="1"/>
  <c r="E11" i="21" s="1"/>
  <c r="E9" i="21"/>
  <c r="F122" i="21" l="1"/>
  <c r="E8" i="21" s="1"/>
  <c r="F262" i="21" l="1"/>
  <c r="D267" i="21" s="1"/>
  <c r="E267" i="21" s="1"/>
  <c r="F268" i="21" s="1"/>
  <c r="F270" i="21" s="1"/>
  <c r="E25" i="21" s="1"/>
  <c r="F273" i="21" l="1"/>
  <c r="E26" i="21"/>
  <c r="F25" i="21" s="1"/>
  <c r="F278" i="21" l="1"/>
  <c r="F23" i="21"/>
  <c r="F20" i="21"/>
  <c r="F13" i="21"/>
  <c r="F22" i="21"/>
  <c r="F21" i="21"/>
  <c r="F18" i="21"/>
  <c r="F14" i="21"/>
  <c r="F17" i="21"/>
  <c r="F24" i="21"/>
  <c r="F15" i="21"/>
  <c r="F19" i="21"/>
  <c r="F16" i="21"/>
  <c r="F10" i="21"/>
  <c r="F9" i="21"/>
  <c r="F11" i="21"/>
  <c r="F12" i="21"/>
  <c r="F8" i="21"/>
  <c r="F26" i="21" l="1"/>
</calcChain>
</file>

<file path=xl/comments1.xml><?xml version="1.0" encoding="utf-8"?>
<comments xmlns="http://schemas.openxmlformats.org/spreadsheetml/2006/main">
  <authors>
    <author>Clauber Bridi</author>
  </authors>
  <commentList>
    <comment ref="A6" authorId="0">
      <text>
        <r>
          <rPr>
            <sz val="9"/>
            <color indexed="81"/>
            <rFont val="Tahoma"/>
            <family val="2"/>
          </rPr>
          <t>Qualquer custo previsto no edital e não contemplado nesta planilha modelo deverá ser devidamente incluído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>
      <text>
        <r>
          <rPr>
            <b/>
            <sz val="9"/>
            <color indexed="81"/>
            <rFont val="Tahoma"/>
            <family val="2"/>
          </rPr>
          <t>Informar o fator de utilização das equipes de coleta. 
Por exemplo:
Equipes com utilização integral = 100%
Equipes com utilização parcial = n° horas trabalhadas por semana /44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8" authorId="0">
      <text>
        <r>
          <rPr>
            <sz val="9"/>
            <color indexed="81"/>
            <rFont val="Tahoma"/>
            <family val="2"/>
          </rPr>
          <t>Informar o número de horas extras trabalhadas nos domingos e feriados em horário diurno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9" author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50" author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3" author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55" author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C61" authorId="0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63" authorId="0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64" author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noturno (das 22:00h as 5h) nos domingos e feriados
</t>
        </r>
      </text>
    </comment>
    <comment ref="C66" authorId="0">
      <text>
        <r>
          <rPr>
            <sz val="9"/>
            <color indexed="81"/>
            <rFont val="Tahoma"/>
            <family val="2"/>
          </rPr>
          <t>Informar o número de horas extras trabalhadas em horário noturno de segunda à sábado</t>
        </r>
      </text>
    </comment>
    <comment ref="C67" authorId="0">
      <text>
        <r>
          <rPr>
            <sz val="9"/>
            <color indexed="81"/>
            <rFont val="Tahoma"/>
            <family val="2"/>
          </rPr>
          <t>Informar o número de horas extras trabalhadas em horário noturno (das 22:00h as 5h) de segunda a sábado</t>
        </r>
      </text>
    </comment>
    <comment ref="A69" author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Considerados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2" author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74" author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80" authorId="0">
      <text>
        <r>
          <rPr>
            <sz val="9"/>
            <color indexed="81"/>
            <rFont val="Tahoma"/>
            <family val="2"/>
          </rPr>
          <t>Informar o valor do salário Mínimo Nacional</t>
        </r>
      </text>
    </comment>
    <comment ref="C81" authorId="0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82" author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83" author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4" author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85" authorId="0">
      <text>
        <r>
          <rPr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87" author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89" author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C97" authorId="0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99" authorId="0">
      <text>
        <r>
          <rPr>
            <sz val="9"/>
            <color indexed="81"/>
            <rFont val="Tahoma"/>
            <family val="2"/>
          </rPr>
          <t>Informar o número de horas extras trabalhadas em horário noturno nos domingos e feriados</t>
        </r>
      </text>
    </comment>
    <comment ref="C100" author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noturno (das 22:00h as 5h) nos domingos e feriados
</t>
        </r>
      </text>
    </comment>
    <comment ref="C102" authorId="0">
      <text>
        <r>
          <rPr>
            <sz val="9"/>
            <color indexed="81"/>
            <rFont val="Tahoma"/>
            <family val="2"/>
          </rPr>
          <t>Informar o número de horas extras trabalhadas em horário noturno de segunda à sábado</t>
        </r>
      </text>
    </comment>
    <comment ref="C103" authorId="0">
      <text>
        <r>
          <rPr>
            <sz val="9"/>
            <color indexed="81"/>
            <rFont val="Tahoma"/>
            <family val="2"/>
          </rPr>
          <t>Informar o número de horas extras trabalhadas em horário noturno (das 22:00h as 5h) de segunda a sábado</t>
        </r>
      </text>
    </comment>
    <comment ref="A105" author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Considerados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6" author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109" author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11" author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117" authorId="0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118" authorId="0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C146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47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48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49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50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51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2" authorId="0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D164" authorId="0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C165" authorId="0">
      <text>
        <r>
          <rPr>
            <sz val="9"/>
            <color indexed="81"/>
            <rFont val="Tahoma"/>
            <family val="2"/>
          </rPr>
          <t>Informar a vida útil estimada para o caminhão, em anos</t>
        </r>
      </text>
    </comment>
    <comment ref="C166" author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167" authorId="0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9" authorId="0">
      <text>
        <r>
          <rPr>
            <sz val="9"/>
            <color indexed="81"/>
            <rFont val="Tahoma"/>
            <family val="2"/>
          </rPr>
          <t xml:space="preserve">Informar o preço unitário do equipamento compactador
</t>
        </r>
      </text>
    </comment>
    <comment ref="C170" authorId="0">
      <text>
        <r>
          <rPr>
            <sz val="9"/>
            <color indexed="81"/>
            <rFont val="Tahoma"/>
            <family val="2"/>
          </rPr>
          <t>Informar a vida útil estimada para o compactador, em anos</t>
        </r>
      </text>
    </comment>
    <comment ref="C171" author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compactador proposto.</t>
        </r>
      </text>
    </comment>
    <comment ref="C172" authorId="0">
      <text>
        <r>
          <rPr>
            <b/>
            <sz val="9"/>
            <color indexed="81"/>
            <rFont val="Tahoma"/>
            <family val="2"/>
          </rPr>
          <t xml:space="preserve">Informar o valor da depreciação do compactador,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5" authorId="0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C181" authorId="0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7" authorId="0">
      <text>
        <r>
          <rPr>
            <sz val="9"/>
            <color indexed="81"/>
            <rFont val="Tahoma"/>
            <family val="2"/>
          </rPr>
          <t xml:space="preserve">Informar o valor do seguro obrigatório e licenciamento anual de um caminhão
</t>
        </r>
      </text>
    </comment>
    <comment ref="D198" authorId="0">
      <text>
        <r>
          <rPr>
            <sz val="9"/>
            <color indexed="81"/>
            <rFont val="Tahoma"/>
            <family val="2"/>
          </rPr>
          <t xml:space="preserve">Informar o valor do seguro contra terceiros de um caminhão, se houver previsão no Projeto Básico
</t>
        </r>
      </text>
    </comment>
    <comment ref="B204" authorId="0">
      <text>
        <r>
          <rPr>
            <sz val="9"/>
            <color indexed="81"/>
            <rFont val="Tahoma"/>
            <family val="2"/>
          </rPr>
          <t xml:space="preserve">Informar a quilometragem mensal percorrida, de acordo com o projeto básico
</t>
        </r>
      </text>
    </comment>
    <comment ref="C207" authorId="0">
      <text>
        <r>
          <rPr>
            <sz val="9"/>
            <color indexed="81"/>
            <rFont val="Tahoma"/>
            <family val="2"/>
          </rPr>
          <t>Informar o consumo estimado do veículo em km/l</t>
        </r>
      </text>
    </comment>
    <comment ref="D207" authorId="0">
      <text>
        <r>
          <rPr>
            <sz val="9"/>
            <color indexed="81"/>
            <rFont val="Tahoma"/>
            <family val="2"/>
          </rPr>
          <t xml:space="preserve">Informar o preço unitário do combustivel
</t>
        </r>
      </text>
    </comment>
    <comment ref="C209" authorId="0">
      <text>
        <r>
          <rPr>
            <sz val="9"/>
            <color indexed="81"/>
            <rFont val="Tahoma"/>
            <family val="2"/>
          </rPr>
          <t>Informar o consumo de óleo do motor a cada 1000km</t>
        </r>
      </text>
    </comment>
    <comment ref="D209" authorId="0">
      <text>
        <r>
          <rPr>
            <sz val="9"/>
            <color indexed="81"/>
            <rFont val="Tahoma"/>
            <family val="2"/>
          </rPr>
          <t xml:space="preserve">Informar o preço unitário do litro do óleo do motor
</t>
        </r>
      </text>
    </comment>
    <comment ref="C211" authorId="0">
      <text>
        <r>
          <rPr>
            <sz val="9"/>
            <color indexed="81"/>
            <rFont val="Tahoma"/>
            <family val="2"/>
          </rPr>
          <t>Informar o consumo de óleo da transmissão a cada 1000km</t>
        </r>
      </text>
    </comment>
    <comment ref="D211" authorId="0">
      <text>
        <r>
          <rPr>
            <sz val="9"/>
            <color indexed="81"/>
            <rFont val="Tahoma"/>
            <family val="2"/>
          </rPr>
          <t xml:space="preserve">Informar o preço unitário do litro do óleo da transmissão
</t>
        </r>
      </text>
    </comment>
    <comment ref="C213" authorId="0">
      <text>
        <r>
          <rPr>
            <sz val="9"/>
            <color indexed="81"/>
            <rFont val="Tahoma"/>
            <family val="2"/>
          </rPr>
          <t>Informar o consumo de óleo hidráulico a cada 1000km</t>
        </r>
      </text>
    </comment>
    <comment ref="D213" authorId="0">
      <text>
        <r>
          <rPr>
            <sz val="9"/>
            <color indexed="81"/>
            <rFont val="Tahoma"/>
            <family val="2"/>
          </rPr>
          <t xml:space="preserve">Informar o preço unitário do litro do óleo hidráulico
</t>
        </r>
      </text>
    </comment>
    <comment ref="C215" authorId="0">
      <text>
        <r>
          <rPr>
            <sz val="9"/>
            <color indexed="81"/>
            <rFont val="Tahoma"/>
            <family val="2"/>
          </rPr>
          <t>Informar o consumo de aditivo arla a cada 1000km</t>
        </r>
      </text>
    </comment>
    <comment ref="D215" authorId="0">
      <text>
        <r>
          <rPr>
            <sz val="9"/>
            <color indexed="81"/>
            <rFont val="Tahoma"/>
            <family val="2"/>
          </rPr>
          <t xml:space="preserve">Informar o preço unitário do litro do óleo hidráulico
</t>
        </r>
      </text>
    </comment>
    <comment ref="C217" authorId="0">
      <text>
        <r>
          <rPr>
            <sz val="9"/>
            <color indexed="81"/>
            <rFont val="Tahoma"/>
            <family val="2"/>
          </rPr>
          <t>Informar o consumo de graxa a cada 1000km</t>
        </r>
      </text>
    </comment>
    <comment ref="D217" authorId="0">
      <text>
        <r>
          <rPr>
            <sz val="9"/>
            <color indexed="81"/>
            <rFont val="Tahoma"/>
            <family val="2"/>
          </rPr>
          <t xml:space="preserve">Informar o preço unitário do litro da graxa
</t>
        </r>
      </text>
    </comment>
    <comment ref="D224" authorId="0">
      <text>
        <r>
          <rPr>
            <sz val="9"/>
            <color indexed="81"/>
            <rFont val="Tahoma"/>
            <family val="2"/>
          </rPr>
          <t xml:space="preserve">Informar o custo de manutenção em R$/km rodado
</t>
        </r>
      </text>
    </comment>
    <comment ref="C229" authorId="0">
      <text>
        <r>
          <rPr>
            <sz val="9"/>
            <color indexed="81"/>
            <rFont val="Tahoma"/>
            <family val="2"/>
          </rPr>
          <t>Informar a quantidade de pneus novos de 1 caminhão</t>
        </r>
      </text>
    </comment>
    <comment ref="D229" authorId="0">
      <text>
        <r>
          <rPr>
            <sz val="9"/>
            <color indexed="81"/>
            <rFont val="Tahoma"/>
            <family val="2"/>
          </rPr>
          <t xml:space="preserve">Informar o preço unitário de cada pneu
</t>
        </r>
      </text>
    </comment>
    <comment ref="C230" authorId="0">
      <text>
        <r>
          <rPr>
            <sz val="9"/>
            <color indexed="81"/>
            <rFont val="Tahoma"/>
            <family val="2"/>
          </rPr>
          <t>Informar o número de recapagens por pneu</t>
        </r>
      </text>
    </comment>
    <comment ref="D231" authorId="0">
      <text>
        <r>
          <rPr>
            <sz val="9"/>
            <color indexed="81"/>
            <rFont val="Tahoma"/>
            <family val="2"/>
          </rPr>
          <t xml:space="preserve">Informar o preço unitário de cada recapagem
</t>
        </r>
      </text>
    </comment>
    <comment ref="C232" authorId="0">
      <text>
        <r>
          <rPr>
            <sz val="9"/>
            <color indexed="81"/>
            <rFont val="Tahoma"/>
            <family val="2"/>
          </rPr>
          <t xml:space="preserve">Informar a durabilidade média dos pneus considerando as recapagens, em km
</t>
        </r>
      </text>
    </comment>
    <comment ref="C242" author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42" author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43" author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43" author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44" author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44" author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45" author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45" author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46" author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46" author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A251" authorId="0">
      <text>
        <r>
          <rPr>
            <b/>
            <sz val="9"/>
            <color indexed="81"/>
            <rFont val="Tahoma"/>
            <family val="2"/>
          </rPr>
          <t>Especificar somente quando for exigido no Projeto Básico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54" authorId="0">
      <text>
        <r>
          <rPr>
            <sz val="9"/>
            <color indexed="81"/>
            <rFont val="Tahoma"/>
            <family val="2"/>
          </rPr>
          <t>Informar o valor total para instalação do equipamento de monitoramento da frota, se houver previsão no Projeto Básico</t>
        </r>
      </text>
    </comment>
    <comment ref="D256" authorId="0">
      <text>
        <r>
          <rPr>
            <sz val="9"/>
            <color indexed="81"/>
            <rFont val="Tahoma"/>
            <family val="2"/>
          </rPr>
          <t>Informar o valor unitário mensal para manutenção dos equipamentos de monitoramento</t>
        </r>
      </text>
    </comment>
    <comment ref="C267" authorId="0">
      <text>
        <r>
          <rPr>
            <sz val="9"/>
            <color indexed="81"/>
            <rFont val="Tahoma"/>
            <family val="2"/>
          </rPr>
          <t>Preencher a aba 4.BDI</t>
        </r>
      </text>
    </comment>
    <comment ref="D276" authorId="0">
      <text>
        <r>
          <rPr>
            <sz val="9"/>
            <color indexed="81"/>
            <rFont val="Tahoma"/>
            <family val="2"/>
          </rPr>
          <t xml:space="preserve">Informar a quantidade média coletada nos últimos 12 meses
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C13" authorId="0">
      <text>
        <r>
          <rPr>
            <b/>
            <sz val="9"/>
            <color indexed="81"/>
            <rFont val="Tahoma"/>
            <family val="2"/>
          </rPr>
          <t>Informar o % de Administração Central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>
      <text>
        <r>
          <rPr>
            <b/>
            <sz val="9"/>
            <color indexed="81"/>
            <rFont val="Tahoma"/>
            <family val="2"/>
          </rPr>
          <t>Informar o % de Seguros, Riscos e Garantia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" authorId="0">
      <text>
        <r>
          <rPr>
            <b/>
            <sz val="9"/>
            <color indexed="81"/>
            <rFont val="Tahoma"/>
            <family val="2"/>
          </rPr>
          <t>Informar o % de Lucro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Informar o valor anual da taxa financeira, em percentual. Admite-se utilizar a SELIC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Informar o percentual de ISS, de acordo com a legislação tributária do município onde serão prestados os serviços. De 2% até o limite de 5%.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Informar a média de dias úteis entre data de pagamento prevista no contrato e a data final do período de adimplemento da parcela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" authorId="0">
      <text>
        <r>
          <rPr>
            <b/>
            <sz val="9"/>
            <color indexed="81"/>
            <rFont val="Tahoma"/>
            <family val="2"/>
          </rPr>
          <t xml:space="preserve">Informar o valor estimado de PIS/COFINS. </t>
        </r>
        <r>
          <rPr>
            <sz val="9"/>
            <color indexed="81"/>
            <rFont val="Tahoma"/>
            <family val="2"/>
          </rPr>
          <t xml:space="preserve">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comments3.xml><?xml version="1.0" encoding="utf-8"?>
<comments xmlns="http://schemas.openxmlformats.org/spreadsheetml/2006/main">
  <authors>
    <author>Omar</author>
  </authors>
  <commentList>
    <comment ref="C15" authorId="0">
      <text>
        <r>
          <rPr>
            <sz val="9"/>
            <color indexed="81"/>
            <rFont val="Tahoma"/>
            <family val="2"/>
          </rPr>
          <t>retorna a geração diária a ser recolhida</t>
        </r>
      </text>
    </comment>
  </commentList>
</comments>
</file>

<file path=xl/sharedStrings.xml><?xml version="1.0" encoding="utf-8"?>
<sst xmlns="http://schemas.openxmlformats.org/spreadsheetml/2006/main" count="604" uniqueCount="340">
  <si>
    <t>hora</t>
  </si>
  <si>
    <t>Adicional de Insalubridade</t>
  </si>
  <si>
    <t>%</t>
  </si>
  <si>
    <t>Soma</t>
  </si>
  <si>
    <t>Encargos Sociais</t>
  </si>
  <si>
    <t>Total do Efetivo</t>
  </si>
  <si>
    <t>homem</t>
  </si>
  <si>
    <t>Adicional Noturno</t>
  </si>
  <si>
    <t>mês</t>
  </si>
  <si>
    <t>unidade</t>
  </si>
  <si>
    <t>Colete reflexivo</t>
  </si>
  <si>
    <t>IPVA</t>
  </si>
  <si>
    <t>Seguro contra terceiros</t>
  </si>
  <si>
    <t>Impostos e seguros mensais</t>
  </si>
  <si>
    <t>Custo de óleo diesel / km rodado</t>
  </si>
  <si>
    <t>km/l</t>
  </si>
  <si>
    <t>Custo mensal com óleo diesel</t>
  </si>
  <si>
    <t>km</t>
  </si>
  <si>
    <t>l/1.000 km</t>
  </si>
  <si>
    <t>Custo mensal com óleo do motor</t>
  </si>
  <si>
    <t>Custo mensal com óleo da transmissão</t>
  </si>
  <si>
    <t>Custo mensal com óleo hidráulico</t>
  </si>
  <si>
    <t>Custo de graxa /1.000 km rodados</t>
  </si>
  <si>
    <t>kg/1.000 km</t>
  </si>
  <si>
    <t>Custo mensal com graxa</t>
  </si>
  <si>
    <t>km/jogo</t>
  </si>
  <si>
    <t>toneladas</t>
  </si>
  <si>
    <t>Pá de Concha</t>
  </si>
  <si>
    <t>Vassoura</t>
  </si>
  <si>
    <t>Calça</t>
  </si>
  <si>
    <t>Camiseta</t>
  </si>
  <si>
    <t>Boné</t>
  </si>
  <si>
    <t>Luva de proteção</t>
  </si>
  <si>
    <t>R$/tonelada</t>
  </si>
  <si>
    <t>R$</t>
  </si>
  <si>
    <t>Horas Extras (100%)</t>
  </si>
  <si>
    <t>Horas Extras (50%)</t>
  </si>
  <si>
    <t>Benefícios e despesas indiretas</t>
  </si>
  <si>
    <t>Custo mensal com manutenção</t>
  </si>
  <si>
    <t>Custo (R$/mês)</t>
  </si>
  <si>
    <t>Mão-de-obra</t>
  </si>
  <si>
    <t>Quantidade</t>
  </si>
  <si>
    <t>INSS</t>
  </si>
  <si>
    <t>FGTS</t>
  </si>
  <si>
    <t>Motorista</t>
  </si>
  <si>
    <t>2. Uniformes e Equipamentos de Proteção Individual</t>
  </si>
  <si>
    <t>3.1.1. Depreciação</t>
  </si>
  <si>
    <t>1. Mão-de-obra</t>
  </si>
  <si>
    <t>par</t>
  </si>
  <si>
    <t>frasco 120g</t>
  </si>
  <si>
    <t>Depreciação mensal veículos coletores</t>
  </si>
  <si>
    <t>3.1.3. Impostos e Seguros</t>
  </si>
  <si>
    <t>3.1.4. Consumos</t>
  </si>
  <si>
    <t>3.1.5. Manutenção</t>
  </si>
  <si>
    <t>3. Veículos e Equipamentos</t>
  </si>
  <si>
    <t>Custo mensal com pneus</t>
  </si>
  <si>
    <t>Veículos e Equipamentos</t>
  </si>
  <si>
    <t>cj</t>
  </si>
  <si>
    <t>Total de mão-de-obra (postos de trabalho)</t>
  </si>
  <si>
    <t>Publicidade (adesivos veículos)</t>
  </si>
  <si>
    <t>Custo mensal com implantação</t>
  </si>
  <si>
    <t>3.1.6. Pneus</t>
  </si>
  <si>
    <t>Protetor solar FPS 30</t>
  </si>
  <si>
    <t>Discriminação</t>
  </si>
  <si>
    <t>Unidade</t>
  </si>
  <si>
    <t>Subtotal</t>
  </si>
  <si>
    <r>
      <t xml:space="preserve">Total </t>
    </r>
    <r>
      <rPr>
        <b/>
        <u/>
        <sz val="9"/>
        <rFont val="Arial"/>
        <family val="2"/>
      </rPr>
      <t>(R$)</t>
    </r>
  </si>
  <si>
    <t>Jaqueta com reflexivo (NBR 15.292)</t>
  </si>
  <si>
    <t>Capa de chuva amarela com reflexivo</t>
  </si>
  <si>
    <t>Botina de segurança c/ palmilha aço</t>
  </si>
  <si>
    <t>PREÇO POR TONELADA COLETADA:  [A/B]</t>
  </si>
  <si>
    <t>Custo de recapagem</t>
  </si>
  <si>
    <t>Recipiente térmico para água (5L)</t>
  </si>
  <si>
    <t>Total por Coletor</t>
  </si>
  <si>
    <t>Coletor</t>
  </si>
  <si>
    <t>4. Ferramentas e Materiais de Consumo</t>
  </si>
  <si>
    <t>5. Monitoramento da Frota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</si>
  <si>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</si>
  <si>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</si>
  <si>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</si>
  <si>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</si>
  <si>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</si>
  <si>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</si>
  <si>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</si>
  <si>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</si>
  <si>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Tributos - ISS</t>
  </si>
  <si>
    <t>T</t>
  </si>
  <si>
    <t>Fórmula para o cálculo do BDI:</t>
  </si>
  <si>
    <t>{[(1+AC+SRG) x (1+L) x (1+DF)] / (1-T)} -1</t>
  </si>
  <si>
    <t>Resultado do cálculo do BDI:</t>
  </si>
  <si>
    <t>6. Benefícios e Despesas Indiretas - BDI</t>
  </si>
  <si>
    <t>1.2. Coletor Turno Noite</t>
  </si>
  <si>
    <t>dia</t>
  </si>
  <si>
    <t>Custo Mensal com Mão-de-obra (R$/mês)</t>
  </si>
  <si>
    <t>Meia de algodão com cano alto</t>
  </si>
  <si>
    <t>Quantitativos</t>
  </si>
  <si>
    <t>horas trabalhadas</t>
  </si>
  <si>
    <t>Horas Extras Noturnas (100%)</t>
  </si>
  <si>
    <t>1.1. Coletor Turno Dia</t>
  </si>
  <si>
    <t>1.3. Motorista Turno do Dia</t>
  </si>
  <si>
    <t>hora contabilizada</t>
  </si>
  <si>
    <t>Vida útil do chassis</t>
  </si>
  <si>
    <t>anos</t>
  </si>
  <si>
    <t>Depreciação do chassis</t>
  </si>
  <si>
    <t>Custo de aquisição do chassis</t>
  </si>
  <si>
    <t>i = taxa de juros do mercado (sugere-se adotar a taxa SELIC)</t>
  </si>
  <si>
    <t>n = vida útil do bem em anos</t>
  </si>
  <si>
    <t>Custo do chassis</t>
  </si>
  <si>
    <t>3.1.2. Remuneração do Capital</t>
  </si>
  <si>
    <t>Im = investimento médio</t>
  </si>
  <si>
    <t>Investimento médio total do chassis</t>
  </si>
  <si>
    <t>Remuneração mensal de capital do chassis</t>
  </si>
  <si>
    <t>Custo de manutenção dos caminhões</t>
  </si>
  <si>
    <t>Quilometragem mensal</t>
  </si>
  <si>
    <t>R$/km rodado</t>
  </si>
  <si>
    <t>Número de recapagens por pneu</t>
  </si>
  <si>
    <t>R$ mensal</t>
  </si>
  <si>
    <t>Admissões</t>
  </si>
  <si>
    <t>Desligamentos</t>
  </si>
  <si>
    <t>Dispensados com justa causa</t>
  </si>
  <si>
    <t>Dispensados sem justa causa</t>
  </si>
  <si>
    <t>Espontâneos</t>
  </si>
  <si>
    <t>Fim de contrato por prazo determinado</t>
  </si>
  <si>
    <t>Término de contrato</t>
  </si>
  <si>
    <t>Aposentados</t>
  </si>
  <si>
    <t>Mortos</t>
  </si>
  <si>
    <t>Transferência de saída</t>
  </si>
  <si>
    <t xml:space="preserve"> </t>
  </si>
  <si>
    <t>Indicadores</t>
  </si>
  <si>
    <t>Dias ano</t>
  </si>
  <si>
    <t>Estoque Médio</t>
  </si>
  <si>
    <t>Multa FGTS</t>
  </si>
  <si>
    <t>Dias de Aviso prévio</t>
  </si>
  <si>
    <t>Código</t>
  </si>
  <si>
    <t>Descrição</t>
  </si>
  <si>
    <t>Valor</t>
  </si>
  <si>
    <t>A1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</si>
  <si>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</si>
  <si>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</si>
  <si>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</si>
  <si>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</si>
  <si>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</si>
  <si>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</si>
  <si>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</si>
  <si>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</si>
  <si>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</si>
  <si>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</si>
  <si>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</si>
  <si>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</si>
  <si>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</si>
  <si>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A</t>
  </si>
  <si>
    <t>SOMA GRUPO A</t>
  </si>
  <si>
    <t>B1</t>
  </si>
  <si>
    <t>Férias gozadas</t>
  </si>
  <si>
    <t>B2</t>
  </si>
  <si>
    <t>13º salário</t>
  </si>
  <si>
    <t>B4</t>
  </si>
  <si>
    <t>Licença Paternidade</t>
  </si>
  <si>
    <t>B5</t>
  </si>
  <si>
    <t>Faltas justificadas</t>
  </si>
  <si>
    <t>B6</t>
  </si>
  <si>
    <t>Auxilio acidente de trabalho</t>
  </si>
  <si>
    <t>Auxilio doença</t>
  </si>
  <si>
    <t>B</t>
  </si>
  <si>
    <t>SOMA GRUPO B</t>
  </si>
  <si>
    <t>C1</t>
  </si>
  <si>
    <t>Aviso prévio indenizado</t>
  </si>
  <si>
    <t>C3</t>
  </si>
  <si>
    <t xml:space="preserve">Férias indenizadas </t>
  </si>
  <si>
    <t>C4</t>
  </si>
  <si>
    <t>Férias indenizadas s/ aviso previo inden.</t>
  </si>
  <si>
    <t>C5</t>
  </si>
  <si>
    <t>Depósito rescisão sem justa causa</t>
  </si>
  <si>
    <t>Indenização adicional</t>
  </si>
  <si>
    <t>C</t>
  </si>
  <si>
    <t>SOMA GRUPO C</t>
  </si>
  <si>
    <t>D1</t>
  </si>
  <si>
    <t>Reincidência de Grupo A sobre Grupo B</t>
  </si>
  <si>
    <t>D2</t>
  </si>
  <si>
    <t>D</t>
  </si>
  <si>
    <t>SOMA GRUPO D</t>
  </si>
  <si>
    <t>SOMA (A+B+C+D)</t>
  </si>
  <si>
    <t>1° Quartil</t>
  </si>
  <si>
    <t>Médio</t>
  </si>
  <si>
    <t>3° Quartil</t>
  </si>
  <si>
    <t>DU</t>
  </si>
  <si>
    <t>Licenciamento e Seguro obrigatório</t>
  </si>
  <si>
    <t>Fator de utilização</t>
  </si>
  <si>
    <t>Fator de utilização (FU)</t>
  </si>
  <si>
    <t>2.1. Uniformes e EPIs para Coletor</t>
  </si>
  <si>
    <t>Higienização de uniformes e EPIs</t>
  </si>
  <si>
    <t>2.2. Uniformes e EPIs para demais categorias</t>
  </si>
  <si>
    <t>Custo Mensal com Uniformes e EPIs (R$/mês)</t>
  </si>
  <si>
    <t>Descrição do Item</t>
  </si>
  <si>
    <t>Orçamento Sintético</t>
  </si>
  <si>
    <t>Orientações para preenchimento:</t>
  </si>
  <si>
    <t>Excluir esta linha caso a contratação seja por preço global mensal</t>
  </si>
  <si>
    <t>Rio Grande do Sul  - Coleta de Resíduos Não-Perigosos - CNAE 38114</t>
  </si>
  <si>
    <t xml:space="preserve">1. Acesse o Portal do CAGED no link http://bi.mte.gov.br/cagedestabelecimento/pages/consulta.xhtml </t>
  </si>
  <si>
    <t>3. Nível Geográfico: selecione "Unidade da Federação" e marque a opção "Rio Grande do Sul"</t>
  </si>
  <si>
    <t>4. Nível Setorial: selecione "Classe de atividade econômica segundo a classificação CNAE – versão 2.0 (669 categorias)" e marque a opção "38114 – Coleta de Resíduos Não-Perigosos"</t>
  </si>
  <si>
    <t>5. Clique em Gerar Relatório</t>
  </si>
  <si>
    <t>Para preencher esta planilha siga os passos 1 a 5:</t>
  </si>
  <si>
    <t>Idade do veículo (ano)</t>
  </si>
  <si>
    <t>Idade do veículo</t>
  </si>
  <si>
    <t>Valor do veículo proposto (V0)</t>
  </si>
  <si>
    <t>Valor do compactador proposto (V0)</t>
  </si>
  <si>
    <t>Taxa de juros anual nominal</t>
  </si>
  <si>
    <t>Piso da categoria</t>
  </si>
  <si>
    <t>Base de cálculo da Insalubridade</t>
  </si>
  <si>
    <t>Horas Extras Noturnas (50%)</t>
  </si>
  <si>
    <t>Excluir esta linha caso a contratação não tenha previsão de horas extras explícita no edital</t>
  </si>
  <si>
    <t>Descanso Semanal Remunerado (DSR) - hora extra</t>
  </si>
  <si>
    <t>C2</t>
  </si>
  <si>
    <t>B3</t>
  </si>
  <si>
    <t xml:space="preserve">Quantidade média de resíduos coletados por mês: </t>
  </si>
  <si>
    <t>Custo Mensal com Monitoramento da Frota (R$/mês)</t>
  </si>
  <si>
    <t>Implantação dos equipamentos de monitoramento</t>
  </si>
  <si>
    <t>Manutenção dos equipamentos de monitoramento</t>
  </si>
  <si>
    <t>Custo Mensal com Veículos e Equipamentos (R$/mês)</t>
  </si>
  <si>
    <t>Custo Mensal com Ferramentas e Materiais de Consumo (R$/mês)</t>
  </si>
  <si>
    <t>CUSTO TOTAL MENSAL COM DESPESAS OPERACIONAIS (R$/mês)</t>
  </si>
  <si>
    <t>PREÇO MENSAL TOTAL (R$/mês)</t>
  </si>
  <si>
    <t>3. CAGED</t>
  </si>
  <si>
    <t>4. Composição do BDI - Benefícios e Despesas Indiretas</t>
  </si>
  <si>
    <t xml:space="preserve">2. Composição dos Encargos Sociais </t>
  </si>
  <si>
    <t>5. Depreciação Referencial TCE/RS (%)</t>
  </si>
  <si>
    <r>
      <t>J</t>
    </r>
    <r>
      <rPr>
        <vertAlign val="subscript"/>
        <sz val="12"/>
        <color indexed="8"/>
        <rFont val="Arial"/>
        <family val="2"/>
      </rPr>
      <t>m</t>
    </r>
    <r>
      <rPr>
        <sz val="12"/>
        <color indexed="8"/>
        <rFont val="Arial"/>
        <family val="2"/>
      </rPr>
      <t xml:space="preserve"> = remuneração de capital mensal</t>
    </r>
  </si>
  <si>
    <r>
      <t>V</t>
    </r>
    <r>
      <rPr>
        <vertAlign val="subscript"/>
        <sz val="12"/>
        <color indexed="8"/>
        <rFont val="Arial"/>
        <family val="2"/>
      </rPr>
      <t>0</t>
    </r>
    <r>
      <rPr>
        <sz val="12"/>
        <color indexed="8"/>
        <rFont val="Arial"/>
        <family val="2"/>
      </rPr>
      <t xml:space="preserve"> = valor inicial do bem</t>
    </r>
  </si>
  <si>
    <r>
      <t>V</t>
    </r>
    <r>
      <rPr>
        <vertAlign val="subscript"/>
        <sz val="12"/>
        <color indexed="8"/>
        <rFont val="Arial"/>
        <family val="2"/>
      </rPr>
      <t>r</t>
    </r>
    <r>
      <rPr>
        <sz val="12"/>
        <color indexed="8"/>
        <rFont val="Arial"/>
        <family val="2"/>
      </rPr>
      <t xml:space="preserve"> = valor residual do bem</t>
    </r>
  </si>
  <si>
    <t>6. Remuneração de Capital</t>
  </si>
  <si>
    <t>Custo unitário</t>
  </si>
  <si>
    <t>Custo de óleo do motor /1.000 km rodados</t>
  </si>
  <si>
    <t>Custo de óleo da transmissão /1.000 km</t>
  </si>
  <si>
    <t>Custo de óleo hidráulico / 1.000 km</t>
  </si>
  <si>
    <t>PREÇO TOTAL MENSAL COM A COLETA</t>
  </si>
  <si>
    <t>CUSTO MENSAL COM BDI (R$/mês)</t>
  </si>
  <si>
    <t>CÁLCULO DAS VERBAS INDENIZATÓRIAS DOS EMPREGADOS NO SETOR DE COLETA DE RSU</t>
  </si>
  <si>
    <t>6. Preencha as células em amarelo</t>
  </si>
  <si>
    <t>1/3 de férias (dias)</t>
  </si>
  <si>
    <t>Férias (dias)</t>
  </si>
  <si>
    <t>13º Salário (dias)</t>
  </si>
  <si>
    <t>Referência estudo TCE</t>
  </si>
  <si>
    <t>Rotatividade temporal (meses)</t>
  </si>
  <si>
    <t>Fórmula de cálculo da remuneração de capital:</t>
  </si>
  <si>
    <t>Excluir esta linha caso a contratação não tenha previsão de horas extras 100% explícita no edital</t>
  </si>
  <si>
    <t>Excluir esta linha caso a contratação não tenha previsão de horas extras noturnas 100% explícita no edital</t>
  </si>
  <si>
    <t>Excluir esta linha caso a contratação não tenha previsão de horas extras 50% explícita no edital</t>
  </si>
  <si>
    <t>Excluir esta linha caso a contratação não tenha previsão de horas extras noturnas 50% explícita no edital</t>
  </si>
  <si>
    <t>Total por Motorista</t>
  </si>
  <si>
    <t>2. Na Especificação da Consulta, selecione "Demonstrativo por período" e informe as competências relativas ao período Inicial e Final (últimos 12 meses)</t>
  </si>
  <si>
    <t>Durabilidade (meses)</t>
  </si>
  <si>
    <t>Custo com consumos/km rodado</t>
  </si>
  <si>
    <t>Consumo</t>
  </si>
  <si>
    <t>Total por veículo</t>
  </si>
  <si>
    <t>Total da frota</t>
  </si>
  <si>
    <t>1. Esta planilha é somente um modelo de cálculo expedito e deve ser ajustada conforme cada caso concreto.</t>
  </si>
  <si>
    <t>Unid</t>
  </si>
  <si>
    <t>hab</t>
  </si>
  <si>
    <t>ton</t>
  </si>
  <si>
    <t>Densidade RSU compactado</t>
  </si>
  <si>
    <t>Kg/m³</t>
  </si>
  <si>
    <t>m³</t>
  </si>
  <si>
    <t>Kg/hab.dia</t>
  </si>
  <si>
    <t>ton/dia</t>
  </si>
  <si>
    <t>População (H)</t>
  </si>
  <si>
    <t>Geração per capita (G)</t>
  </si>
  <si>
    <t>Geração total diária (Qd)</t>
  </si>
  <si>
    <t>Quantitativo diário de coleta (Qc)</t>
  </si>
  <si>
    <t>Número de dias de coleta por semana (Dc)</t>
  </si>
  <si>
    <t>Capacidade nominal de carga (Cc)</t>
  </si>
  <si>
    <t>Número de Cargas por dia (Nc)</t>
  </si>
  <si>
    <t>Número de veículos da Frota (F)</t>
  </si>
  <si>
    <t>Geração Mensal</t>
  </si>
  <si>
    <t>Tipo de Veículo (1 = toco, 2 = truck)</t>
  </si>
  <si>
    <t>Capacidade do Compactador</t>
  </si>
  <si>
    <t>7. Dimensionamento da frota</t>
  </si>
  <si>
    <t>Indicador</t>
  </si>
  <si>
    <t>Número total de percursos de coleta por veículo, por dia (Np)</t>
  </si>
  <si>
    <t>i</t>
  </si>
  <si>
    <t>3. Preencher somente células em amarelo</t>
  </si>
  <si>
    <t>Depreciação Média</t>
  </si>
  <si>
    <t>2. Dimensionar separadamente setores atendidos por veículos de capacidade de carga diferentes.</t>
  </si>
  <si>
    <t>Reincidência de FGTS sobre aviso prévio indenizado</t>
  </si>
  <si>
    <t>Piso da categoria (2)</t>
  </si>
  <si>
    <t>Salário mínimo nacional (1)</t>
  </si>
  <si>
    <t>O TCE/RS não se responsabiliza pelo uso incorreto desta planilha.</t>
  </si>
  <si>
    <t>% Demitidos s/ Justa Causa em relação ao Estoque Médio</t>
  </si>
  <si>
    <t>Taxa de Rotatividade</t>
  </si>
  <si>
    <t>Acordo</t>
  </si>
  <si>
    <t xml:space="preserve">O orçamento deve ser realizado por responsável técnico habilitado e é de </t>
  </si>
  <si>
    <t>responsabilidade do seu autor.</t>
  </si>
  <si>
    <t>realizada nos últimos 12 meses</t>
  </si>
  <si>
    <t xml:space="preserve"> todos os turnos de trabalho.</t>
  </si>
  <si>
    <t>Obs:</t>
  </si>
  <si>
    <t>&gt; Informar a população do município a ser atendida</t>
  </si>
  <si>
    <t xml:space="preserve">&gt; Caso o município possua informações de pesagem, ajustar com o valor da geração média per capita </t>
  </si>
  <si>
    <t>&gt; Informe o número de dias de coleta por semana</t>
  </si>
  <si>
    <t xml:space="preserve">&gt; Informar 1 para caminhão toco; Informar 2 para caminhão truck </t>
  </si>
  <si>
    <t>&gt; Informar a capacidade do compactador em m³</t>
  </si>
  <si>
    <t>&gt; Informar o número de percursos de coleta (cargas) que cada caminhão realiza por dia, considerando</t>
  </si>
  <si>
    <t>Valores R$</t>
  </si>
  <si>
    <t xml:space="preserve">Ordem </t>
  </si>
  <si>
    <t>Investimento médio total do baú</t>
  </si>
  <si>
    <t>Remuneração mensal de capital do baú</t>
  </si>
  <si>
    <t xml:space="preserve">Total Geral toneladas ano </t>
  </si>
  <si>
    <t xml:space="preserve">Ton/Mês </t>
  </si>
  <si>
    <t>Custo do jogo de pneus 275/22,5 R80</t>
  </si>
  <si>
    <t>Tributos - PIS/COFINS/ e CPP se houver</t>
  </si>
  <si>
    <t>3.1. Veículo Coletor com compactador</t>
  </si>
  <si>
    <t>Custo de aquisição do compactador</t>
  </si>
  <si>
    <t>Idade do chassis</t>
  </si>
  <si>
    <t>Depreciação mensal do chassis</t>
  </si>
  <si>
    <t>1.4. Encarregado/Supervisor</t>
  </si>
  <si>
    <t xml:space="preserve">Considerado 4 horas semanais.  </t>
  </si>
  <si>
    <t xml:space="preserve">Lavagem do caminhão compactador </t>
  </si>
  <si>
    <t xml:space="preserve">Unid. </t>
  </si>
  <si>
    <t xml:space="preserve">Mês </t>
  </si>
  <si>
    <t>Toneladas coletadas e enviadas ao aterro sanitário</t>
  </si>
  <si>
    <t xml:space="preserve">Total de meses no período </t>
  </si>
  <si>
    <t xml:space="preserve">Média mensal dos últimos meses </t>
  </si>
  <si>
    <t>Custo de aditivo Arla/ 1.000 km</t>
  </si>
  <si>
    <t>Custo mensal com aditivo Arla 32</t>
  </si>
  <si>
    <r>
      <t>Custo jg. compl. + 2</t>
    </r>
    <r>
      <rPr>
        <sz val="10"/>
        <rFont val="Arial"/>
        <family val="2"/>
      </rPr>
      <t xml:space="preserve"> recap./ km rodado</t>
    </r>
  </si>
  <si>
    <t>Data: 27/12/2019, Validade: 60 dias</t>
  </si>
  <si>
    <t>CRESU</t>
  </si>
  <si>
    <t>1. Coleta Seletiva e Transporte de Resíduos Sólidos Domiciliares</t>
  </si>
  <si>
    <t>Custo do Compactador</t>
  </si>
  <si>
    <t>Tolenadas de lixo coletados no CRESU</t>
  </si>
  <si>
    <t>Fonte: CRVR</t>
  </si>
  <si>
    <t>1.5. Vale-refeição (diário)</t>
  </si>
  <si>
    <t>Estoque recuperado final do Período 31.12.2019</t>
  </si>
  <si>
    <t>Estoque recuperado início do Período 01.01.2019</t>
  </si>
  <si>
    <t>Variação Emprego Absoluta de 01.01.2019 a 31.12.2019</t>
  </si>
  <si>
    <t>Período: Agosto/20 a 07/21</t>
  </si>
  <si>
    <t>Período: (Agosto de 2020 à Julho de 2021)</t>
  </si>
  <si>
    <t>Despesas Financeiras - SELIC Agosto/2021</t>
  </si>
  <si>
    <t>CARIMBO E ASSINATURA DA EMPRESA</t>
  </si>
  <si>
    <t>Data:</t>
  </si>
  <si>
    <t>Planilha de Composição de Custos para os 2 Sistemas (Sistema 1 - Porto Xavier e Sistema 2 - Pirapó, São Nicolau, Dezesseis de Novembro e Garruchos)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</si>
</sst>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.00_);\(&quot;R$ &quot;#,##0.00\)"/>
    <numFmt numFmtId="165" formatCode="_(* #,##0.00_);_(* \(#,##0.00\);_(* &quot;-&quot;??_);_(@_)"/>
    <numFmt numFmtId="166" formatCode="_(* #,##0_);_(* \(#,##0\);_(* &quot;-&quot;??_);_(@_)"/>
    <numFmt numFmtId="167" formatCode="_(* #,##0.000_);_(* \(#,##0.000\);_(* &quot;-&quot;??_);_(@_)"/>
    <numFmt numFmtId="168" formatCode="&quot;R$ &quot;#,##0.00"/>
    <numFmt numFmtId="169" formatCode="0.0000"/>
    <numFmt numFmtId="170" formatCode="_-* #,##0.000_-;\-* #,##0.000_-;_-* &quot;-&quot;??_-;_-@_-"/>
    <numFmt numFmtId="171" formatCode="_-* #,##0.00_-;\-* #,##0.00_-;_-* &quot;-&quot;?_-;_-@_-"/>
    <numFmt numFmtId="172" formatCode="_-* #,##0_-;\-* #,##0_-;_-* &quot;-&quot;?_-;_-@_-"/>
    <numFmt numFmtId="173" formatCode="_-* #,##0_-;\-* #,##0_-;_-* &quot;-&quot;??_-;_-@_-"/>
    <numFmt numFmtId="174" formatCode="_-* #,##0.0_-;\-* #,##0.0_-;_-* &quot;-&quot;??_-;_-@_-"/>
    <numFmt numFmtId="175" formatCode="_ * #,##0.00_ ;_ * \-#,##0.00_ ;_ * &quot;-&quot;??_ ;_ @_ "/>
    <numFmt numFmtId="176" formatCode="_(* #,##0.0000_);_(* \(#,##0.0000\);_(* &quot;-&quot;??_);_(@_)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vertAlign val="subscript"/>
      <sz val="12"/>
      <color indexed="8"/>
      <name val="Arial"/>
      <family val="2"/>
    </font>
    <font>
      <sz val="12"/>
      <color indexed="8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3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6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174" fontId="38" fillId="0" borderId="0" applyFont="0" applyFill="0" applyBorder="0" applyAlignment="0" applyProtection="0"/>
    <xf numFmtId="0" fontId="8" fillId="0" borderId="0"/>
    <xf numFmtId="0" fontId="9" fillId="0" borderId="0"/>
    <xf numFmtId="0" fontId="3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38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9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409">
    <xf numFmtId="0" fontId="0" fillId="0" borderId="0" xfId="0"/>
    <xf numFmtId="0" fontId="14" fillId="0" borderId="0" xfId="0" applyFont="1"/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65" fontId="0" fillId="0" borderId="0" xfId="3" applyFont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5" fontId="14" fillId="0" borderId="0" xfId="3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165" fontId="14" fillId="0" borderId="2" xfId="3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165" fontId="14" fillId="0" borderId="1" xfId="3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14" fillId="0" borderId="0" xfId="3" applyFont="1" applyAlignment="1">
      <alignment horizontal="center" vertical="center"/>
    </xf>
    <xf numFmtId="165" fontId="11" fillId="2" borderId="4" xfId="3" applyFont="1" applyFill="1" applyBorder="1" applyAlignment="1">
      <alignment horizontal="center" vertical="center"/>
    </xf>
    <xf numFmtId="165" fontId="11" fillId="2" borderId="4" xfId="3" applyFont="1" applyFill="1" applyBorder="1" applyAlignment="1">
      <alignment vertical="center"/>
    </xf>
    <xf numFmtId="165" fontId="11" fillId="0" borderId="0" xfId="3" applyFont="1" applyFill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165" fontId="11" fillId="0" borderId="6" xfId="3" applyFont="1" applyBorder="1" applyAlignment="1">
      <alignment vertical="center"/>
    </xf>
    <xf numFmtId="165" fontId="11" fillId="0" borderId="7" xfId="3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165" fontId="14" fillId="0" borderId="6" xfId="3" applyFont="1" applyBorder="1" applyAlignment="1">
      <alignment vertical="center"/>
    </xf>
    <xf numFmtId="165" fontId="14" fillId="0" borderId="7" xfId="3" applyFont="1" applyBorder="1" applyAlignment="1">
      <alignment vertical="center"/>
    </xf>
    <xf numFmtId="165" fontId="11" fillId="0" borderId="0" xfId="3" applyFont="1" applyBorder="1" applyAlignment="1">
      <alignment horizontal="center" vertical="center"/>
    </xf>
    <xf numFmtId="3" fontId="14" fillId="0" borderId="0" xfId="0" applyNumberFormat="1" applyFont="1" applyAlignment="1">
      <alignment vertical="center"/>
    </xf>
    <xf numFmtId="165" fontId="11" fillId="0" borderId="0" xfId="3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165" fontId="11" fillId="0" borderId="0" xfId="3" applyFont="1" applyBorder="1" applyAlignment="1">
      <alignment vertical="center"/>
    </xf>
    <xf numFmtId="165" fontId="13" fillId="0" borderId="0" xfId="3" applyFont="1" applyAlignment="1">
      <alignment vertical="center"/>
    </xf>
    <xf numFmtId="165" fontId="14" fillId="0" borderId="0" xfId="3" applyFont="1"/>
    <xf numFmtId="165" fontId="12" fillId="0" borderId="0" xfId="3" applyFont="1" applyAlignment="1">
      <alignment vertical="center"/>
    </xf>
    <xf numFmtId="165" fontId="0" fillId="0" borderId="11" xfId="3" applyFont="1" applyBorder="1" applyAlignment="1">
      <alignment vertical="center"/>
    </xf>
    <xf numFmtId="165" fontId="11" fillId="0" borderId="12" xfId="3" applyFont="1" applyBorder="1" applyAlignment="1">
      <alignment horizontal="center" vertical="center"/>
    </xf>
    <xf numFmtId="165" fontId="11" fillId="0" borderId="5" xfId="3" applyFont="1" applyBorder="1" applyAlignment="1">
      <alignment horizontal="left" vertical="center"/>
    </xf>
    <xf numFmtId="4" fontId="11" fillId="0" borderId="6" xfId="0" applyNumberFormat="1" applyFont="1" applyBorder="1" applyAlignment="1">
      <alignment horizontal="centerContinuous" vertical="center"/>
    </xf>
    <xf numFmtId="165" fontId="11" fillId="0" borderId="0" xfId="3" applyFont="1" applyAlignment="1">
      <alignment vertical="center"/>
    </xf>
    <xf numFmtId="165" fontId="0" fillId="0" borderId="9" xfId="0" applyNumberFormat="1" applyBorder="1" applyAlignment="1">
      <alignment vertical="center"/>
    </xf>
    <xf numFmtId="4" fontId="0" fillId="0" borderId="9" xfId="0" applyNumberFormat="1" applyBorder="1" applyAlignment="1">
      <alignment horizontal="centerContinuous" vertical="center"/>
    </xf>
    <xf numFmtId="165" fontId="0" fillId="0" borderId="9" xfId="3" applyFont="1" applyBorder="1" applyAlignment="1">
      <alignment vertical="center"/>
    </xf>
    <xf numFmtId="165" fontId="11" fillId="0" borderId="13" xfId="3" applyFont="1" applyBorder="1" applyAlignment="1">
      <alignment horizontal="right" vertical="center"/>
    </xf>
    <xf numFmtId="165" fontId="0" fillId="0" borderId="14" xfId="3" applyFont="1" applyBorder="1" applyAlignment="1">
      <alignment vertical="center"/>
    </xf>
    <xf numFmtId="165" fontId="14" fillId="0" borderId="1" xfId="3" applyFont="1" applyBorder="1" applyAlignment="1">
      <alignment vertical="center"/>
    </xf>
    <xf numFmtId="0" fontId="18" fillId="0" borderId="0" xfId="0" applyFont="1" applyAlignment="1">
      <alignment vertical="center"/>
    </xf>
    <xf numFmtId="0" fontId="14" fillId="0" borderId="0" xfId="0" applyFont="1" applyFill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165" fontId="14" fillId="0" borderId="0" xfId="3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165" fontId="12" fillId="0" borderId="0" xfId="3" applyFont="1" applyBorder="1" applyAlignment="1">
      <alignment vertical="center"/>
    </xf>
    <xf numFmtId="10" fontId="0" fillId="0" borderId="15" xfId="2" applyNumberFormat="1" applyFont="1" applyBorder="1" applyAlignment="1">
      <alignment vertical="center"/>
    </xf>
    <xf numFmtId="165" fontId="14" fillId="0" borderId="0" xfId="3" applyFont="1" applyBorder="1" applyAlignment="1">
      <alignment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165" fontId="20" fillId="2" borderId="17" xfId="3" applyFont="1" applyFill="1" applyBorder="1" applyAlignment="1">
      <alignment horizontal="center" vertical="center"/>
    </xf>
    <xf numFmtId="165" fontId="20" fillId="2" borderId="18" xfId="3" applyFont="1" applyFill="1" applyBorder="1" applyAlignment="1">
      <alignment horizontal="center" vertical="center"/>
    </xf>
    <xf numFmtId="165" fontId="11" fillId="0" borderId="19" xfId="3" applyFont="1" applyBorder="1" applyAlignment="1">
      <alignment horizontal="center" vertical="center"/>
    </xf>
    <xf numFmtId="165" fontId="9" fillId="0" borderId="14" xfId="3" applyFont="1" applyBorder="1" applyAlignment="1">
      <alignment horizontal="left" vertical="center"/>
    </xf>
    <xf numFmtId="165" fontId="14" fillId="0" borderId="9" xfId="3" applyFont="1" applyBorder="1" applyAlignment="1">
      <alignment vertical="center"/>
    </xf>
    <xf numFmtId="165" fontId="14" fillId="0" borderId="14" xfId="3" applyFont="1" applyBorder="1" applyAlignment="1">
      <alignment vertical="center"/>
    </xf>
    <xf numFmtId="166" fontId="14" fillId="0" borderId="0" xfId="3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1" fontId="14" fillId="0" borderId="20" xfId="3" applyNumberFormat="1" applyFont="1" applyBorder="1" applyAlignment="1">
      <alignment horizontal="center" vertical="center"/>
    </xf>
    <xf numFmtId="165" fontId="11" fillId="0" borderId="28" xfId="3" applyFont="1" applyBorder="1" applyAlignment="1">
      <alignment vertical="center"/>
    </xf>
    <xf numFmtId="4" fontId="11" fillId="0" borderId="29" xfId="0" applyNumberFormat="1" applyFont="1" applyBorder="1" applyAlignment="1">
      <alignment vertical="center"/>
    </xf>
    <xf numFmtId="165" fontId="14" fillId="0" borderId="19" xfId="3" applyFont="1" applyBorder="1" applyAlignment="1">
      <alignment vertical="center"/>
    </xf>
    <xf numFmtId="165" fontId="14" fillId="0" borderId="11" xfId="3" applyFont="1" applyBorder="1" applyAlignment="1">
      <alignment vertical="center"/>
    </xf>
    <xf numFmtId="0" fontId="0" fillId="0" borderId="11" xfId="0" applyBorder="1" applyAlignment="1">
      <alignment vertical="center"/>
    </xf>
    <xf numFmtId="1" fontId="14" fillId="0" borderId="12" xfId="3" applyNumberFormat="1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29" xfId="0" applyBorder="1" applyAlignment="1">
      <alignment vertical="center"/>
    </xf>
    <xf numFmtId="1" fontId="11" fillId="0" borderId="31" xfId="3" applyNumberFormat="1" applyFont="1" applyBorder="1" applyAlignment="1">
      <alignment horizontal="center" vertical="center"/>
    </xf>
    <xf numFmtId="165" fontId="19" fillId="0" borderId="1" xfId="3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165" fontId="11" fillId="2" borderId="4" xfId="3" applyNumberFormat="1" applyFont="1" applyFill="1" applyBorder="1" applyAlignment="1">
      <alignment horizontal="center" vertical="center"/>
    </xf>
    <xf numFmtId="165" fontId="14" fillId="0" borderId="1" xfId="3" applyFont="1" applyFill="1" applyBorder="1" applyAlignment="1">
      <alignment horizontal="center" vertical="center"/>
    </xf>
    <xf numFmtId="165" fontId="18" fillId="0" borderId="0" xfId="3" applyFont="1" applyAlignment="1">
      <alignment vertical="center"/>
    </xf>
    <xf numFmtId="43" fontId="14" fillId="0" borderId="0" xfId="0" applyNumberFormat="1" applyFont="1" applyAlignment="1">
      <alignment vertical="center"/>
    </xf>
    <xf numFmtId="0" fontId="14" fillId="3" borderId="1" xfId="0" applyFont="1" applyFill="1" applyBorder="1" applyAlignment="1">
      <alignment horizontal="center" vertical="center"/>
    </xf>
    <xf numFmtId="165" fontId="14" fillId="3" borderId="2" xfId="3" applyFont="1" applyFill="1" applyBorder="1" applyAlignment="1">
      <alignment horizontal="center" vertical="center"/>
    </xf>
    <xf numFmtId="2" fontId="14" fillId="3" borderId="1" xfId="0" applyNumberFormat="1" applyFont="1" applyFill="1" applyBorder="1" applyAlignment="1">
      <alignment horizontal="center" vertical="center"/>
    </xf>
    <xf numFmtId="165" fontId="14" fillId="3" borderId="1" xfId="3" applyFont="1" applyFill="1" applyBorder="1" applyAlignment="1">
      <alignment horizontal="center" vertical="center"/>
    </xf>
    <xf numFmtId="166" fontId="14" fillId="0" borderId="1" xfId="3" applyNumberFormat="1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4" fontId="14" fillId="3" borderId="2" xfId="0" applyNumberFormat="1" applyFont="1" applyFill="1" applyBorder="1" applyAlignment="1">
      <alignment horizontal="center" vertical="center"/>
    </xf>
    <xf numFmtId="167" fontId="14" fillId="3" borderId="2" xfId="3" applyNumberFormat="1" applyFont="1" applyFill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 vertical="center"/>
    </xf>
    <xf numFmtId="4" fontId="14" fillId="3" borderId="1" xfId="0" applyNumberFormat="1" applyFont="1" applyFill="1" applyBorder="1" applyAlignment="1">
      <alignment horizontal="center" vertical="center"/>
    </xf>
    <xf numFmtId="13" fontId="14" fillId="3" borderId="1" xfId="0" applyNumberFormat="1" applyFont="1" applyFill="1" applyBorder="1" applyAlignment="1">
      <alignment horizontal="center" vertical="center"/>
    </xf>
    <xf numFmtId="166" fontId="14" fillId="0" borderId="1" xfId="3" applyNumberFormat="1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165" fontId="11" fillId="0" borderId="1" xfId="3" applyFont="1" applyBorder="1" applyAlignment="1">
      <alignment horizontal="center" vertical="center"/>
    </xf>
    <xf numFmtId="165" fontId="14" fillId="0" borderId="2" xfId="3" applyFont="1" applyFill="1" applyBorder="1" applyAlignment="1">
      <alignment horizontal="center" vertical="center"/>
    </xf>
    <xf numFmtId="0" fontId="16" fillId="0" borderId="0" xfId="1" applyAlignment="1" applyProtection="1">
      <alignment vertical="center"/>
    </xf>
    <xf numFmtId="0" fontId="11" fillId="0" borderId="0" xfId="0" applyFont="1"/>
    <xf numFmtId="0" fontId="20" fillId="2" borderId="32" xfId="0" applyFont="1" applyFill="1" applyBorder="1" applyAlignment="1">
      <alignment horizontal="center" vertical="center"/>
    </xf>
    <xf numFmtId="0" fontId="20" fillId="2" borderId="33" xfId="0" applyFont="1" applyFill="1" applyBorder="1" applyAlignment="1">
      <alignment horizontal="center" vertical="center"/>
    </xf>
    <xf numFmtId="165" fontId="20" fillId="2" borderId="33" xfId="3" applyFont="1" applyFill="1" applyBorder="1" applyAlignment="1">
      <alignment horizontal="center" vertical="center"/>
    </xf>
    <xf numFmtId="165" fontId="14" fillId="0" borderId="0" xfId="3" applyFont="1" applyFill="1" applyAlignment="1">
      <alignment vertical="center"/>
    </xf>
    <xf numFmtId="165" fontId="11" fillId="0" borderId="1" xfId="3" applyFont="1" applyFill="1" applyBorder="1" applyAlignment="1">
      <alignment horizontal="center" vertical="center"/>
    </xf>
    <xf numFmtId="164" fontId="11" fillId="0" borderId="34" xfId="0" applyNumberFormat="1" applyFont="1" applyBorder="1" applyAlignment="1">
      <alignment vertical="center"/>
    </xf>
    <xf numFmtId="165" fontId="11" fillId="0" borderId="35" xfId="3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165" fontId="11" fillId="0" borderId="0" xfId="3" applyFont="1" applyAlignment="1">
      <alignment horizontal="center" vertical="center"/>
    </xf>
    <xf numFmtId="165" fontId="11" fillId="0" borderId="3" xfId="3" applyFont="1" applyBorder="1" applyAlignment="1">
      <alignment horizontal="center" vertical="center"/>
    </xf>
    <xf numFmtId="2" fontId="14" fillId="0" borderId="1" xfId="3" applyNumberFormat="1" applyFont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14" fillId="0" borderId="0" xfId="3" applyFont="1" applyAlignment="1">
      <alignment horizontal="right" vertical="center"/>
    </xf>
    <xf numFmtId="165" fontId="11" fillId="2" borderId="7" xfId="3" applyFont="1" applyFill="1" applyBorder="1" applyAlignment="1">
      <alignment horizontal="center" vertical="center"/>
    </xf>
    <xf numFmtId="165" fontId="11" fillId="0" borderId="14" xfId="3" applyFont="1" applyBorder="1" applyAlignment="1">
      <alignment vertical="center"/>
    </xf>
    <xf numFmtId="165" fontId="11" fillId="0" borderId="9" xfId="0" applyNumberFormat="1" applyFont="1" applyBorder="1" applyAlignment="1">
      <alignment vertical="center"/>
    </xf>
    <xf numFmtId="165" fontId="11" fillId="0" borderId="9" xfId="3" applyFont="1" applyBorder="1" applyAlignment="1">
      <alignment vertical="center"/>
    </xf>
    <xf numFmtId="10" fontId="11" fillId="0" borderId="15" xfId="2" applyNumberFormat="1" applyFont="1" applyBorder="1" applyAlignment="1">
      <alignment vertical="center"/>
    </xf>
    <xf numFmtId="165" fontId="11" fillId="0" borderId="38" xfId="3" applyFont="1" applyBorder="1" applyAlignment="1">
      <alignment vertical="center"/>
    </xf>
    <xf numFmtId="4" fontId="11" fillId="0" borderId="0" xfId="0" applyNumberFormat="1" applyFont="1" applyBorder="1" applyAlignment="1">
      <alignment vertical="center"/>
    </xf>
    <xf numFmtId="165" fontId="14" fillId="0" borderId="39" xfId="3" applyFont="1" applyBorder="1" applyAlignment="1">
      <alignment vertical="center"/>
    </xf>
    <xf numFmtId="165" fontId="14" fillId="0" borderId="40" xfId="3" applyFont="1" applyBorder="1" applyAlignment="1">
      <alignment vertical="center"/>
    </xf>
    <xf numFmtId="165" fontId="14" fillId="0" borderId="41" xfId="3" applyFont="1" applyBorder="1" applyAlignment="1">
      <alignment vertical="center"/>
    </xf>
    <xf numFmtId="0" fontId="14" fillId="0" borderId="41" xfId="0" applyFont="1" applyBorder="1" applyAlignment="1">
      <alignment vertical="center"/>
    </xf>
    <xf numFmtId="1" fontId="14" fillId="0" borderId="37" xfId="3" applyNumberFormat="1" applyFont="1" applyBorder="1" applyAlignment="1">
      <alignment horizontal="center" vertical="center"/>
    </xf>
    <xf numFmtId="4" fontId="11" fillId="0" borderId="9" xfId="0" applyNumberFormat="1" applyFont="1" applyBorder="1" applyAlignment="1">
      <alignment horizontal="centerContinuous" vertical="center"/>
    </xf>
    <xf numFmtId="4" fontId="0" fillId="0" borderId="0" xfId="0" applyNumberFormat="1" applyBorder="1" applyAlignment="1">
      <alignment vertical="center"/>
    </xf>
    <xf numFmtId="165" fontId="14" fillId="6" borderId="1" xfId="3" applyFont="1" applyFill="1" applyBorder="1" applyAlignment="1">
      <alignment horizontal="center" vertical="center"/>
    </xf>
    <xf numFmtId="165" fontId="14" fillId="6" borderId="1" xfId="3" applyFont="1" applyFill="1" applyBorder="1" applyAlignment="1">
      <alignment vertical="center"/>
    </xf>
    <xf numFmtId="9" fontId="11" fillId="0" borderId="18" xfId="2" applyFont="1" applyBorder="1" applyAlignment="1">
      <alignment vertical="center"/>
    </xf>
    <xf numFmtId="10" fontId="14" fillId="0" borderId="15" xfId="2" applyNumberFormat="1" applyFont="1" applyBorder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165" fontId="14" fillId="0" borderId="1" xfId="0" applyNumberFormat="1" applyFont="1" applyFill="1" applyBorder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0" fillId="0" borderId="38" xfId="0" applyFill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165" fontId="0" fillId="0" borderId="0" xfId="3" applyFont="1" applyFill="1" applyBorder="1" applyAlignment="1">
      <alignment vertical="center"/>
    </xf>
    <xf numFmtId="165" fontId="0" fillId="0" borderId="39" xfId="3" applyFont="1" applyFill="1" applyBorder="1" applyAlignment="1">
      <alignment vertical="center"/>
    </xf>
    <xf numFmtId="0" fontId="14" fillId="0" borderId="1" xfId="0" applyNumberFormat="1" applyFont="1" applyBorder="1" applyAlignment="1">
      <alignment horizontal="center" vertical="center"/>
    </xf>
    <xf numFmtId="166" fontId="11" fillId="0" borderId="0" xfId="3" applyNumberFormat="1" applyFont="1" applyBorder="1" applyAlignment="1">
      <alignment horizontal="center" vertical="center"/>
    </xf>
    <xf numFmtId="0" fontId="25" fillId="0" borderId="14" xfId="0" applyFont="1" applyBorder="1"/>
    <xf numFmtId="0" fontId="14" fillId="0" borderId="0" xfId="0" applyFont="1" applyBorder="1"/>
    <xf numFmtId="0" fontId="25" fillId="0" borderId="47" xfId="0" applyFont="1" applyBorder="1"/>
    <xf numFmtId="0" fontId="25" fillId="3" borderId="20" xfId="0" applyFont="1" applyFill="1" applyBorder="1"/>
    <xf numFmtId="0" fontId="25" fillId="0" borderId="23" xfId="0" applyFont="1" applyBorder="1"/>
    <xf numFmtId="0" fontId="25" fillId="0" borderId="48" xfId="0" applyFont="1" applyBorder="1"/>
    <xf numFmtId="0" fontId="25" fillId="0" borderId="20" xfId="0" applyFont="1" applyBorder="1"/>
    <xf numFmtId="0" fontId="25" fillId="0" borderId="28" xfId="0" applyFont="1" applyBorder="1"/>
    <xf numFmtId="2" fontId="26" fillId="7" borderId="1" xfId="0" applyNumberFormat="1" applyFont="1" applyFill="1" applyBorder="1" applyAlignment="1">
      <alignment horizontal="right" vertical="center"/>
    </xf>
    <xf numFmtId="0" fontId="26" fillId="0" borderId="23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2" fontId="26" fillId="7" borderId="36" xfId="0" applyNumberFormat="1" applyFont="1" applyFill="1" applyBorder="1" applyAlignment="1">
      <alignment horizontal="right" vertical="center"/>
    </xf>
    <xf numFmtId="0" fontId="26" fillId="0" borderId="23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26" fillId="0" borderId="20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10" fontId="26" fillId="0" borderId="20" xfId="0" applyNumberFormat="1" applyFont="1" applyBorder="1" applyAlignment="1">
      <alignment horizontal="right" vertical="center"/>
    </xf>
    <xf numFmtId="0" fontId="26" fillId="0" borderId="0" xfId="0" applyFont="1" applyFill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10" fontId="30" fillId="0" borderId="20" xfId="0" applyNumberFormat="1" applyFont="1" applyBorder="1" applyAlignment="1">
      <alignment horizontal="right" vertical="center"/>
    </xf>
    <xf numFmtId="0" fontId="26" fillId="5" borderId="23" xfId="0" applyFont="1" applyFill="1" applyBorder="1" applyAlignment="1">
      <alignment horizontal="left" vertical="center"/>
    </xf>
    <xf numFmtId="0" fontId="30" fillId="5" borderId="1" xfId="0" applyFont="1" applyFill="1" applyBorder="1" applyAlignment="1">
      <alignment horizontal="left" vertical="center"/>
    </xf>
    <xf numFmtId="10" fontId="30" fillId="5" borderId="20" xfId="0" applyNumberFormat="1" applyFont="1" applyFill="1" applyBorder="1" applyAlignment="1">
      <alignment horizontal="right" vertical="center"/>
    </xf>
    <xf numFmtId="0" fontId="31" fillId="0" borderId="1" xfId="0" applyFont="1" applyBorder="1" applyAlignment="1">
      <alignment horizontal="left" vertical="center"/>
    </xf>
    <xf numFmtId="0" fontId="32" fillId="0" borderId="0" xfId="0" applyFont="1" applyFill="1" applyBorder="1" applyAlignment="1">
      <alignment horizontal="left" vertical="center"/>
    </xf>
    <xf numFmtId="10" fontId="14" fillId="0" borderId="0" xfId="0" applyNumberFormat="1" applyFont="1"/>
    <xf numFmtId="9" fontId="26" fillId="0" borderId="0" xfId="2" applyFont="1" applyBorder="1" applyAlignment="1">
      <alignment horizontal="right" vertical="center"/>
    </xf>
    <xf numFmtId="10" fontId="14" fillId="0" borderId="0" xfId="0" applyNumberFormat="1" applyFont="1" applyBorder="1"/>
    <xf numFmtId="0" fontId="26" fillId="0" borderId="1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/>
    </xf>
    <xf numFmtId="0" fontId="26" fillId="9" borderId="24" xfId="0" applyFont="1" applyFill="1" applyBorder="1" applyAlignment="1">
      <alignment horizontal="left" vertical="center"/>
    </xf>
    <xf numFmtId="0" fontId="30" fillId="9" borderId="36" xfId="0" applyFont="1" applyFill="1" applyBorder="1" applyAlignment="1">
      <alignment horizontal="left" vertical="center"/>
    </xf>
    <xf numFmtId="10" fontId="30" fillId="9" borderId="37" xfId="0" applyNumberFormat="1" applyFont="1" applyFill="1" applyBorder="1" applyAlignment="1">
      <alignment horizontal="right" vertical="center"/>
    </xf>
    <xf numFmtId="0" fontId="30" fillId="0" borderId="0" xfId="0" applyFont="1" applyFill="1" applyBorder="1" applyAlignment="1">
      <alignment horizontal="left" vertical="center"/>
    </xf>
    <xf numFmtId="10" fontId="30" fillId="0" borderId="0" xfId="0" applyNumberFormat="1" applyFont="1" applyFill="1" applyBorder="1" applyAlignment="1">
      <alignment horizontal="right" vertical="center"/>
    </xf>
    <xf numFmtId="0" fontId="32" fillId="4" borderId="0" xfId="0" applyFont="1" applyFill="1" applyBorder="1" applyAlignment="1">
      <alignment horizontal="left" vertical="center"/>
    </xf>
    <xf numFmtId="10" fontId="26" fillId="0" borderId="0" xfId="0" applyNumberFormat="1" applyFont="1" applyFill="1" applyBorder="1" applyAlignment="1">
      <alignment horizontal="right" vertical="center"/>
    </xf>
    <xf numFmtId="0" fontId="26" fillId="4" borderId="0" xfId="0" applyFont="1" applyFill="1" applyBorder="1" applyAlignment="1">
      <alignment horizontal="left" vertical="center"/>
    </xf>
    <xf numFmtId="10" fontId="26" fillId="0" borderId="0" xfId="0" applyNumberFormat="1" applyFont="1" applyBorder="1" applyAlignment="1">
      <alignment horizontal="right" vertical="center"/>
    </xf>
    <xf numFmtId="0" fontId="30" fillId="0" borderId="0" xfId="0" applyFont="1" applyBorder="1" applyAlignment="1">
      <alignment horizontal="left" vertical="center"/>
    </xf>
    <xf numFmtId="10" fontId="30" fillId="0" borderId="0" xfId="0" applyNumberFormat="1" applyFont="1" applyBorder="1" applyAlignment="1">
      <alignment horizontal="right" vertical="center"/>
    </xf>
    <xf numFmtId="0" fontId="33" fillId="0" borderId="0" xfId="0" applyFont="1" applyBorder="1" applyAlignment="1">
      <alignment horizontal="justify" vertical="center"/>
    </xf>
    <xf numFmtId="0" fontId="16" fillId="0" borderId="0" xfId="1" applyFont="1" applyBorder="1" applyAlignment="1" applyProtection="1">
      <alignment horizontal="left" vertical="center"/>
    </xf>
    <xf numFmtId="0" fontId="34" fillId="0" borderId="0" xfId="0" applyFont="1" applyBorder="1"/>
    <xf numFmtId="0" fontId="26" fillId="0" borderId="0" xfId="0" applyFont="1" applyBorder="1" applyAlignment="1">
      <alignment horizontal="right" vertical="center"/>
    </xf>
    <xf numFmtId="0" fontId="16" fillId="0" borderId="0" xfId="1" applyFont="1" applyBorder="1" applyAlignment="1" applyProtection="1">
      <alignment vertical="center"/>
    </xf>
    <xf numFmtId="0" fontId="13" fillId="0" borderId="15" xfId="0" applyFont="1" applyBorder="1"/>
    <xf numFmtId="0" fontId="13" fillId="0" borderId="23" xfId="0" applyFont="1" applyBorder="1"/>
    <xf numFmtId="0" fontId="13" fillId="3" borderId="20" xfId="0" applyFont="1" applyFill="1" applyBorder="1"/>
    <xf numFmtId="0" fontId="13" fillId="0" borderId="47" xfId="0" applyFont="1" applyBorder="1"/>
    <xf numFmtId="0" fontId="13" fillId="3" borderId="48" xfId="0" applyFont="1" applyFill="1" applyBorder="1"/>
    <xf numFmtId="0" fontId="13" fillId="0" borderId="49" xfId="0" applyFont="1" applyBorder="1"/>
    <xf numFmtId="0" fontId="13" fillId="3" borderId="50" xfId="0" applyFont="1" applyFill="1" applyBorder="1"/>
    <xf numFmtId="0" fontId="13" fillId="0" borderId="38" xfId="0" applyFont="1" applyBorder="1"/>
    <xf numFmtId="0" fontId="13" fillId="0" borderId="39" xfId="0" applyFont="1" applyBorder="1"/>
    <xf numFmtId="0" fontId="15" fillId="0" borderId="48" xfId="0" applyFont="1" applyBorder="1"/>
    <xf numFmtId="0" fontId="15" fillId="0" borderId="38" xfId="0" applyFont="1" applyFill="1" applyBorder="1" applyAlignment="1">
      <alignment horizontal="left" vertical="center"/>
    </xf>
    <xf numFmtId="0" fontId="13" fillId="0" borderId="0" xfId="0" applyFont="1" applyBorder="1"/>
    <xf numFmtId="9" fontId="13" fillId="0" borderId="23" xfId="2" applyFont="1" applyBorder="1"/>
    <xf numFmtId="9" fontId="13" fillId="0" borderId="1" xfId="2" applyFont="1" applyBorder="1" applyAlignment="1">
      <alignment horizontal="center"/>
    </xf>
    <xf numFmtId="9" fontId="13" fillId="0" borderId="20" xfId="2" applyFont="1" applyBorder="1"/>
    <xf numFmtId="0" fontId="13" fillId="0" borderId="21" xfId="0" applyFont="1" applyFill="1" applyBorder="1" applyAlignment="1">
      <alignment horizontal="left" vertical="center"/>
    </xf>
    <xf numFmtId="0" fontId="13" fillId="0" borderId="22" xfId="0" applyFont="1" applyFill="1" applyBorder="1" applyAlignment="1">
      <alignment horizontal="center" vertical="center"/>
    </xf>
    <xf numFmtId="10" fontId="13" fillId="3" borderId="12" xfId="0" applyNumberFormat="1" applyFont="1" applyFill="1" applyBorder="1" applyAlignment="1">
      <alignment horizontal="center" vertical="center"/>
    </xf>
    <xf numFmtId="10" fontId="13" fillId="0" borderId="20" xfId="2" applyNumberFormat="1" applyFont="1" applyBorder="1"/>
    <xf numFmtId="0" fontId="13" fillId="0" borderId="23" xfId="0" applyFont="1" applyFill="1" applyBorder="1" applyAlignment="1">
      <alignment horizontal="left" vertical="center"/>
    </xf>
    <xf numFmtId="10" fontId="13" fillId="3" borderId="20" xfId="0" applyNumberFormat="1" applyFont="1" applyFill="1" applyBorder="1" applyAlignment="1">
      <alignment horizontal="center" vertical="center"/>
    </xf>
    <xf numFmtId="10" fontId="13" fillId="0" borderId="20" xfId="0" applyNumberFormat="1" applyFont="1" applyFill="1" applyBorder="1" applyAlignment="1">
      <alignment horizontal="center" vertical="center"/>
    </xf>
    <xf numFmtId="10" fontId="13" fillId="3" borderId="1" xfId="2" applyNumberFormat="1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0" borderId="20" xfId="0" applyFont="1" applyBorder="1"/>
    <xf numFmtId="0" fontId="13" fillId="0" borderId="24" xfId="0" applyFont="1" applyFill="1" applyBorder="1" applyAlignment="1">
      <alignment horizontal="left" vertical="center"/>
    </xf>
    <xf numFmtId="10" fontId="13" fillId="3" borderId="37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25" xfId="0" applyFont="1" applyFill="1" applyBorder="1" applyAlignment="1">
      <alignment vertical="center"/>
    </xf>
    <xf numFmtId="0" fontId="13" fillId="0" borderId="26" xfId="0" applyFont="1" applyFill="1" applyBorder="1" applyAlignment="1">
      <alignment vertical="center"/>
    </xf>
    <xf numFmtId="10" fontId="13" fillId="0" borderId="27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horizontal="left" vertical="center"/>
    </xf>
    <xf numFmtId="0" fontId="13" fillId="0" borderId="29" xfId="0" applyFont="1" applyFill="1" applyBorder="1" applyAlignment="1">
      <alignment horizontal="left" vertical="center"/>
    </xf>
    <xf numFmtId="0" fontId="13" fillId="0" borderId="30" xfId="0" applyFont="1" applyFill="1" applyBorder="1" applyAlignment="1">
      <alignment vertical="center"/>
    </xf>
    <xf numFmtId="0" fontId="15" fillId="5" borderId="5" xfId="0" applyFont="1" applyFill="1" applyBorder="1" applyAlignment="1">
      <alignment vertical="center" wrapText="1"/>
    </xf>
    <xf numFmtId="0" fontId="13" fillId="5" borderId="6" xfId="0" applyFont="1" applyFill="1" applyBorder="1" applyAlignment="1">
      <alignment vertical="center"/>
    </xf>
    <xf numFmtId="10" fontId="15" fillId="5" borderId="7" xfId="0" applyNumberFormat="1" applyFont="1" applyFill="1" applyBorder="1" applyAlignment="1">
      <alignment horizontal="center" vertical="center" wrapText="1"/>
    </xf>
    <xf numFmtId="10" fontId="13" fillId="0" borderId="23" xfId="2" applyNumberFormat="1" applyFont="1" applyBorder="1" applyAlignment="1">
      <alignment horizontal="right"/>
    </xf>
    <xf numFmtId="10" fontId="13" fillId="0" borderId="1" xfId="2" applyNumberFormat="1" applyFont="1" applyBorder="1" applyAlignment="1">
      <alignment horizontal="right"/>
    </xf>
    <xf numFmtId="10" fontId="13" fillId="0" borderId="20" xfId="2" applyNumberFormat="1" applyFont="1" applyBorder="1" applyAlignment="1">
      <alignment horizontal="right"/>
    </xf>
    <xf numFmtId="10" fontId="13" fillId="0" borderId="24" xfId="2" applyNumberFormat="1" applyFont="1" applyBorder="1" applyAlignment="1">
      <alignment horizontal="right"/>
    </xf>
    <xf numFmtId="10" fontId="13" fillId="0" borderId="36" xfId="2" applyNumberFormat="1" applyFont="1" applyBorder="1" applyAlignment="1">
      <alignment horizontal="right"/>
    </xf>
    <xf numFmtId="10" fontId="13" fillId="0" borderId="37" xfId="2" applyNumberFormat="1" applyFont="1" applyBorder="1" applyAlignment="1">
      <alignment horizontal="right"/>
    </xf>
    <xf numFmtId="0" fontId="14" fillId="0" borderId="52" xfId="0" applyFont="1" applyBorder="1"/>
    <xf numFmtId="0" fontId="27" fillId="0" borderId="52" xfId="0" applyFont="1" applyBorder="1" applyAlignment="1">
      <alignment horizontal="justify"/>
    </xf>
    <xf numFmtId="0" fontId="27" fillId="0" borderId="53" xfId="0" applyFont="1" applyBorder="1" applyAlignment="1">
      <alignment horizontal="justify"/>
    </xf>
    <xf numFmtId="0" fontId="24" fillId="10" borderId="51" xfId="0" applyFont="1" applyFill="1" applyBorder="1" applyAlignment="1">
      <alignment horizontal="center"/>
    </xf>
    <xf numFmtId="1" fontId="14" fillId="0" borderId="0" xfId="3" applyNumberFormat="1" applyFont="1" applyBorder="1" applyAlignment="1">
      <alignment horizontal="center" vertical="center"/>
    </xf>
    <xf numFmtId="0" fontId="14" fillId="0" borderId="8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165" fontId="14" fillId="3" borderId="9" xfId="3" applyNumberFormat="1" applyFont="1" applyFill="1" applyBorder="1" applyAlignment="1">
      <alignment vertical="center"/>
    </xf>
    <xf numFmtId="165" fontId="14" fillId="0" borderId="10" xfId="3" applyFont="1" applyBorder="1" applyAlignment="1">
      <alignment vertical="center"/>
    </xf>
    <xf numFmtId="165" fontId="11" fillId="0" borderId="7" xfId="3" applyFont="1" applyBorder="1" applyAlignment="1">
      <alignment horizontal="right" vertical="center"/>
    </xf>
    <xf numFmtId="165" fontId="11" fillId="2" borderId="4" xfId="3" applyFont="1" applyFill="1" applyBorder="1" applyAlignment="1">
      <alignment horizontal="right" vertical="center"/>
    </xf>
    <xf numFmtId="168" fontId="11" fillId="0" borderId="1" xfId="0" applyNumberFormat="1" applyFont="1" applyBorder="1" applyAlignment="1">
      <alignment vertical="center"/>
    </xf>
    <xf numFmtId="168" fontId="0" fillId="0" borderId="1" xfId="0" applyNumberFormat="1" applyBorder="1" applyAlignment="1">
      <alignment vertical="center"/>
    </xf>
    <xf numFmtId="168" fontId="11" fillId="0" borderId="36" xfId="0" applyNumberFormat="1" applyFont="1" applyBorder="1" applyAlignment="1">
      <alignment vertical="center"/>
    </xf>
    <xf numFmtId="165" fontId="11" fillId="0" borderId="11" xfId="3" applyFont="1" applyBorder="1" applyAlignment="1">
      <alignment vertical="center"/>
    </xf>
    <xf numFmtId="165" fontId="11" fillId="0" borderId="5" xfId="3" applyFont="1" applyBorder="1" applyAlignment="1">
      <alignment vertical="center"/>
    </xf>
    <xf numFmtId="0" fontId="12" fillId="0" borderId="38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30" fillId="7" borderId="1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 wrapText="1"/>
    </xf>
    <xf numFmtId="167" fontId="14" fillId="0" borderId="1" xfId="3" applyNumberFormat="1" applyFont="1" applyBorder="1" applyAlignment="1">
      <alignment horizontal="center" vertical="center"/>
    </xf>
    <xf numFmtId="166" fontId="11" fillId="0" borderId="1" xfId="3" applyNumberFormat="1" applyFont="1" applyBorder="1" applyAlignment="1">
      <alignment horizontal="center" vertical="center"/>
    </xf>
    <xf numFmtId="167" fontId="11" fillId="0" borderId="1" xfId="3" applyNumberFormat="1" applyFont="1" applyBorder="1" applyAlignment="1">
      <alignment horizontal="center" vertical="center"/>
    </xf>
    <xf numFmtId="167" fontId="14" fillId="0" borderId="2" xfId="3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9" fillId="0" borderId="0" xfId="0" applyFont="1"/>
    <xf numFmtId="0" fontId="11" fillId="0" borderId="54" xfId="0" applyFont="1" applyBorder="1" applyAlignment="1">
      <alignment vertical="center"/>
    </xf>
    <xf numFmtId="0" fontId="11" fillId="0" borderId="54" xfId="0" applyFont="1" applyBorder="1" applyAlignment="1">
      <alignment horizontal="center" vertical="center"/>
    </xf>
    <xf numFmtId="165" fontId="11" fillId="0" borderId="54" xfId="3" applyFont="1" applyBorder="1" applyAlignment="1">
      <alignment horizontal="center" vertical="center"/>
    </xf>
    <xf numFmtId="165" fontId="11" fillId="0" borderId="54" xfId="3" applyFont="1" applyFill="1" applyBorder="1" applyAlignment="1">
      <alignment horizontal="center" vertical="center"/>
    </xf>
    <xf numFmtId="4" fontId="9" fillId="0" borderId="0" xfId="0" applyNumberFormat="1" applyFont="1" applyBorder="1" applyAlignment="1">
      <alignment vertical="center"/>
    </xf>
    <xf numFmtId="0" fontId="9" fillId="0" borderId="0" xfId="0" applyFont="1" applyFill="1"/>
    <xf numFmtId="0" fontId="15" fillId="0" borderId="23" xfId="0" applyFont="1" applyBorder="1"/>
    <xf numFmtId="0" fontId="15" fillId="0" borderId="1" xfId="0" applyFont="1" applyBorder="1"/>
    <xf numFmtId="0" fontId="15" fillId="0" borderId="20" xfId="0" applyFont="1" applyBorder="1"/>
    <xf numFmtId="0" fontId="13" fillId="0" borderId="23" xfId="0" applyFont="1" applyFill="1" applyBorder="1"/>
    <xf numFmtId="0" fontId="13" fillId="0" borderId="1" xfId="0" applyFont="1" applyFill="1" applyBorder="1"/>
    <xf numFmtId="0" fontId="13" fillId="0" borderId="1" xfId="0" applyFont="1" applyBorder="1"/>
    <xf numFmtId="170" fontId="31" fillId="0" borderId="20" xfId="3" applyNumberFormat="1" applyFont="1" applyBorder="1" applyAlignment="1">
      <alignment horizontal="center" vertical="center" wrapText="1"/>
    </xf>
    <xf numFmtId="171" fontId="13" fillId="0" borderId="20" xfId="0" applyNumberFormat="1" applyFont="1" applyBorder="1"/>
    <xf numFmtId="2" fontId="13" fillId="0" borderId="20" xfId="0" applyNumberFormat="1" applyFont="1" applyBorder="1"/>
    <xf numFmtId="0" fontId="13" fillId="0" borderId="24" xfId="0" applyFont="1" applyFill="1" applyBorder="1"/>
    <xf numFmtId="0" fontId="13" fillId="0" borderId="36" xfId="0" applyFont="1" applyBorder="1"/>
    <xf numFmtId="171" fontId="13" fillId="3" borderId="20" xfId="0" applyNumberFormat="1" applyFont="1" applyFill="1" applyBorder="1"/>
    <xf numFmtId="171" fontId="13" fillId="0" borderId="37" xfId="0" applyNumberFormat="1" applyFont="1" applyBorder="1"/>
    <xf numFmtId="0" fontId="24" fillId="0" borderId="1" xfId="0" applyFont="1" applyFill="1" applyBorder="1" applyAlignment="1">
      <alignment horizontal="center"/>
    </xf>
    <xf numFmtId="0" fontId="24" fillId="0" borderId="23" xfId="0" applyFont="1" applyFill="1" applyBorder="1" applyAlignment="1">
      <alignment horizontal="center"/>
    </xf>
    <xf numFmtId="0" fontId="24" fillId="0" borderId="20" xfId="0" applyFont="1" applyFill="1" applyBorder="1" applyAlignment="1">
      <alignment horizontal="center"/>
    </xf>
    <xf numFmtId="172" fontId="13" fillId="3" borderId="20" xfId="0" applyNumberFormat="1" applyFont="1" applyFill="1" applyBorder="1"/>
    <xf numFmtId="0" fontId="13" fillId="0" borderId="23" xfId="0" applyFont="1" applyBorder="1" applyAlignment="1">
      <alignment horizontal="right"/>
    </xf>
    <xf numFmtId="0" fontId="12" fillId="0" borderId="0" xfId="0" applyFont="1" applyAlignment="1">
      <alignment vertical="center"/>
    </xf>
    <xf numFmtId="4" fontId="36" fillId="0" borderId="0" xfId="0" applyNumberFormat="1" applyFont="1" applyBorder="1" applyAlignment="1">
      <alignment vertical="center"/>
    </xf>
    <xf numFmtId="4" fontId="37" fillId="0" borderId="0" xfId="0" applyNumberFormat="1" applyFont="1" applyBorder="1" applyAlignment="1">
      <alignment vertical="center"/>
    </xf>
    <xf numFmtId="0" fontId="13" fillId="0" borderId="20" xfId="0" applyFont="1" applyFill="1" applyBorder="1"/>
    <xf numFmtId="0" fontId="35" fillId="0" borderId="0" xfId="0" applyFont="1"/>
    <xf numFmtId="0" fontId="9" fillId="0" borderId="2" xfId="0" applyFont="1" applyBorder="1" applyAlignment="1">
      <alignment vertical="center"/>
    </xf>
    <xf numFmtId="169" fontId="15" fillId="0" borderId="20" xfId="0" applyNumberFormat="1" applyFont="1" applyBorder="1"/>
    <xf numFmtId="9" fontId="25" fillId="0" borderId="20" xfId="2" applyFont="1" applyBorder="1"/>
    <xf numFmtId="10" fontId="25" fillId="0" borderId="20" xfId="2" applyNumberFormat="1" applyFont="1" applyBorder="1"/>
    <xf numFmtId="9" fontId="15" fillId="0" borderId="31" xfId="2" applyFont="1" applyBorder="1"/>
    <xf numFmtId="0" fontId="13" fillId="0" borderId="55" xfId="0" applyFont="1" applyBorder="1"/>
    <xf numFmtId="0" fontId="13" fillId="0" borderId="0" xfId="0" applyFont="1" applyFill="1" applyBorder="1"/>
    <xf numFmtId="171" fontId="13" fillId="0" borderId="0" xfId="0" applyNumberFormat="1" applyFont="1" applyBorder="1"/>
    <xf numFmtId="0" fontId="39" fillId="0" borderId="0" xfId="4" applyFont="1"/>
    <xf numFmtId="0" fontId="8" fillId="0" borderId="0" xfId="4"/>
    <xf numFmtId="0" fontId="8" fillId="0" borderId="1" xfId="4" applyFont="1" applyBorder="1"/>
    <xf numFmtId="0" fontId="39" fillId="0" borderId="1" xfId="4" applyFont="1" applyBorder="1" applyAlignment="1">
      <alignment horizontal="center"/>
    </xf>
    <xf numFmtId="0" fontId="8" fillId="0" borderId="1" xfId="4" applyBorder="1"/>
    <xf numFmtId="17" fontId="8" fillId="0" borderId="1" xfId="4" applyNumberFormat="1" applyBorder="1" applyAlignment="1">
      <alignment horizontal="center"/>
    </xf>
    <xf numFmtId="173" fontId="0" fillId="0" borderId="1" xfId="5" applyNumberFormat="1" applyFont="1" applyBorder="1" applyAlignment="1">
      <alignment horizontal="center"/>
    </xf>
    <xf numFmtId="43" fontId="8" fillId="0" borderId="0" xfId="4" applyNumberFormat="1"/>
    <xf numFmtId="43" fontId="0" fillId="0" borderId="0" xfId="5" applyFont="1"/>
    <xf numFmtId="165" fontId="8" fillId="0" borderId="0" xfId="3" applyFont="1"/>
    <xf numFmtId="165" fontId="9" fillId="3" borderId="2" xfId="3" applyFont="1" applyFill="1" applyBorder="1" applyAlignment="1">
      <alignment horizontal="center" vertical="center"/>
    </xf>
    <xf numFmtId="10" fontId="11" fillId="3" borderId="7" xfId="2" applyNumberFormat="1" applyFont="1" applyFill="1" applyBorder="1" applyAlignment="1">
      <alignment vertical="center"/>
    </xf>
    <xf numFmtId="176" fontId="14" fillId="0" borderId="1" xfId="3" applyNumberFormat="1" applyFont="1" applyBorder="1" applyAlignment="1">
      <alignment vertical="center"/>
    </xf>
    <xf numFmtId="165" fontId="0" fillId="3" borderId="1" xfId="3" applyFont="1" applyFill="1" applyBorder="1"/>
    <xf numFmtId="13" fontId="9" fillId="3" borderId="1" xfId="0" applyNumberFormat="1" applyFont="1" applyFill="1" applyBorder="1" applyAlignment="1">
      <alignment vertical="center"/>
    </xf>
    <xf numFmtId="13" fontId="9" fillId="0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13" fontId="14" fillId="3" borderId="1" xfId="0" applyNumberFormat="1" applyFont="1" applyFill="1" applyBorder="1" applyAlignment="1">
      <alignment vertical="center"/>
    </xf>
    <xf numFmtId="4" fontId="12" fillId="0" borderId="0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40" fillId="0" borderId="0" xfId="4" applyFont="1"/>
    <xf numFmtId="166" fontId="9" fillId="0" borderId="0" xfId="3" applyNumberFormat="1" applyFont="1" applyBorder="1"/>
    <xf numFmtId="0" fontId="4" fillId="0" borderId="0" xfId="4" applyFont="1"/>
    <xf numFmtId="43" fontId="0" fillId="0" borderId="1" xfId="5" applyNumberFormat="1" applyFont="1" applyBorder="1" applyAlignment="1"/>
    <xf numFmtId="4" fontId="14" fillId="3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2" fillId="0" borderId="1" xfId="4" applyFont="1" applyBorder="1" applyAlignment="1">
      <alignment horizontal="left"/>
    </xf>
    <xf numFmtId="43" fontId="11" fillId="0" borderId="1" xfId="5" applyNumberFormat="1" applyFont="1" applyBorder="1" applyAlignment="1">
      <alignment horizontal="center"/>
    </xf>
    <xf numFmtId="176" fontId="13" fillId="0" borderId="20" xfId="3" applyNumberFormat="1" applyFont="1" applyBorder="1"/>
    <xf numFmtId="165" fontId="11" fillId="0" borderId="14" xfId="3" applyFont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165" fontId="20" fillId="0" borderId="17" xfId="3" applyFont="1" applyFill="1" applyBorder="1" applyAlignment="1">
      <alignment horizontal="center" vertical="center"/>
    </xf>
    <xf numFmtId="165" fontId="20" fillId="0" borderId="18" xfId="3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165" fontId="9" fillId="0" borderId="2" xfId="3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2" fontId="14" fillId="0" borderId="1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65" fontId="11" fillId="0" borderId="0" xfId="3" applyFont="1" applyFill="1" applyAlignment="1">
      <alignment horizontal="center" vertical="center"/>
    </xf>
    <xf numFmtId="165" fontId="11" fillId="0" borderId="3" xfId="3" applyFont="1" applyFill="1" applyBorder="1" applyAlignment="1">
      <alignment horizontal="center" vertical="center"/>
    </xf>
    <xf numFmtId="165" fontId="0" fillId="0" borderId="0" xfId="3" applyFont="1" applyFill="1" applyAlignment="1">
      <alignment vertical="center"/>
    </xf>
    <xf numFmtId="165" fontId="14" fillId="0" borderId="0" xfId="3" applyFont="1" applyFill="1" applyAlignment="1">
      <alignment horizontal="right" vertical="center"/>
    </xf>
    <xf numFmtId="176" fontId="14" fillId="0" borderId="1" xfId="3" applyNumberFormat="1" applyFont="1" applyFill="1" applyBorder="1" applyAlignment="1">
      <alignment vertical="center"/>
    </xf>
    <xf numFmtId="165" fontId="11" fillId="0" borderId="7" xfId="3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165" fontId="11" fillId="0" borderId="0" xfId="3" applyFont="1" applyFill="1" applyAlignment="1">
      <alignment vertical="center"/>
    </xf>
    <xf numFmtId="0" fontId="11" fillId="0" borderId="9" xfId="0" applyFont="1" applyFill="1" applyBorder="1" applyAlignment="1">
      <alignment horizontal="center" vertical="center"/>
    </xf>
    <xf numFmtId="165" fontId="11" fillId="0" borderId="9" xfId="3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9" fillId="0" borderId="1" xfId="0" applyFont="1" applyFill="1" applyBorder="1" applyAlignment="1">
      <alignment vertical="center"/>
    </xf>
    <xf numFmtId="165" fontId="14" fillId="0" borderId="1" xfId="3" applyNumberFormat="1" applyFont="1" applyFill="1" applyBorder="1" applyAlignment="1">
      <alignment horizontal="center" vertical="center"/>
    </xf>
    <xf numFmtId="165" fontId="14" fillId="0" borderId="1" xfId="3" applyFont="1" applyFill="1" applyBorder="1" applyAlignment="1">
      <alignment vertical="center"/>
    </xf>
    <xf numFmtId="165" fontId="11" fillId="0" borderId="4" xfId="3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165" fontId="11" fillId="0" borderId="6" xfId="3" applyFont="1" applyFill="1" applyBorder="1" applyAlignment="1">
      <alignment vertical="center"/>
    </xf>
    <xf numFmtId="165" fontId="11" fillId="0" borderId="7" xfId="3" applyFont="1" applyFill="1" applyBorder="1" applyAlignment="1">
      <alignment vertical="center"/>
    </xf>
    <xf numFmtId="165" fontId="9" fillId="0" borderId="0" xfId="3" applyFont="1" applyAlignment="1">
      <alignment vertical="center"/>
    </xf>
    <xf numFmtId="0" fontId="41" fillId="0" borderId="0" xfId="0" applyFont="1"/>
    <xf numFmtId="0" fontId="1" fillId="0" borderId="0" xfId="4" applyFont="1"/>
    <xf numFmtId="43" fontId="9" fillId="0" borderId="0" xfId="0" applyNumberFormat="1" applyFont="1" applyAlignment="1">
      <alignment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24" fillId="8" borderId="25" xfId="0" applyFont="1" applyFill="1" applyBorder="1" applyAlignment="1">
      <alignment horizontal="center" vertical="center"/>
    </xf>
    <xf numFmtId="0" fontId="24" fillId="8" borderId="26" xfId="0" applyFont="1" applyFill="1" applyBorder="1" applyAlignment="1">
      <alignment horizontal="center" vertical="center"/>
    </xf>
    <xf numFmtId="0" fontId="24" fillId="8" borderId="27" xfId="0" applyFont="1" applyFill="1" applyBorder="1" applyAlignment="1">
      <alignment horizontal="center" vertical="center"/>
    </xf>
    <xf numFmtId="0" fontId="15" fillId="8" borderId="44" xfId="0" applyFont="1" applyFill="1" applyBorder="1" applyAlignment="1">
      <alignment horizontal="center" vertical="center" wrapText="1"/>
    </xf>
    <xf numFmtId="0" fontId="15" fillId="8" borderId="42" xfId="0" applyFont="1" applyFill="1" applyBorder="1" applyAlignment="1">
      <alignment horizontal="center" vertical="center" wrapText="1"/>
    </xf>
    <xf numFmtId="0" fontId="15" fillId="8" borderId="45" xfId="0" applyFont="1" applyFill="1" applyBorder="1" applyAlignment="1">
      <alignment horizontal="center" vertical="center" wrapText="1"/>
    </xf>
    <xf numFmtId="165" fontId="12" fillId="8" borderId="5" xfId="3" applyFont="1" applyFill="1" applyBorder="1" applyAlignment="1">
      <alignment horizontal="center" vertical="center"/>
    </xf>
    <xf numFmtId="165" fontId="12" fillId="8" borderId="6" xfId="3" applyFont="1" applyFill="1" applyBorder="1" applyAlignment="1">
      <alignment horizontal="center" vertical="center"/>
    </xf>
    <xf numFmtId="165" fontId="12" fillId="8" borderId="7" xfId="3" applyFont="1" applyFill="1" applyBorder="1" applyAlignment="1">
      <alignment horizontal="center" vertical="center"/>
    </xf>
    <xf numFmtId="165" fontId="11" fillId="0" borderId="14" xfId="3" applyFont="1" applyBorder="1" applyAlignment="1">
      <alignment horizontal="left" vertical="center"/>
    </xf>
    <xf numFmtId="165" fontId="11" fillId="0" borderId="9" xfId="3" applyFont="1" applyBorder="1" applyAlignment="1">
      <alignment horizontal="left" vertical="center"/>
    </xf>
    <xf numFmtId="165" fontId="11" fillId="0" borderId="5" xfId="3" applyFont="1" applyBorder="1" applyAlignment="1">
      <alignment horizontal="center" vertical="center"/>
    </xf>
    <xf numFmtId="165" fontId="11" fillId="0" borderId="6" xfId="3" applyFont="1" applyBorder="1" applyAlignment="1">
      <alignment horizontal="center" vertical="center"/>
    </xf>
    <xf numFmtId="165" fontId="11" fillId="0" borderId="43" xfId="3" applyFont="1" applyBorder="1" applyAlignment="1">
      <alignment horizontal="center" vertical="center"/>
    </xf>
    <xf numFmtId="0" fontId="24" fillId="8" borderId="21" xfId="0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/>
    </xf>
    <xf numFmtId="0" fontId="24" fillId="8" borderId="12" xfId="0" applyFont="1" applyFill="1" applyBorder="1" applyAlignment="1">
      <alignment horizontal="center" vertical="center"/>
    </xf>
    <xf numFmtId="0" fontId="24" fillId="10" borderId="19" xfId="0" applyFont="1" applyFill="1" applyBorder="1" applyAlignment="1">
      <alignment horizontal="center"/>
    </xf>
    <xf numFmtId="0" fontId="24" fillId="10" borderId="46" xfId="0" applyFont="1" applyFill="1" applyBorder="1" applyAlignment="1">
      <alignment horizontal="center"/>
    </xf>
    <xf numFmtId="0" fontId="14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12" fillId="10" borderId="25" xfId="0" applyFont="1" applyFill="1" applyBorder="1" applyAlignment="1">
      <alignment horizontal="center" vertical="center"/>
    </xf>
    <xf numFmtId="0" fontId="12" fillId="10" borderId="26" xfId="0" applyFont="1" applyFill="1" applyBorder="1" applyAlignment="1">
      <alignment horizontal="center" vertical="center"/>
    </xf>
    <xf numFmtId="0" fontId="12" fillId="10" borderId="27" xfId="0" applyFont="1" applyFill="1" applyBorder="1" applyAlignment="1">
      <alignment horizontal="center" vertical="center"/>
    </xf>
    <xf numFmtId="9" fontId="15" fillId="0" borderId="21" xfId="2" applyFont="1" applyBorder="1" applyAlignment="1">
      <alignment horizontal="center"/>
    </xf>
    <xf numFmtId="9" fontId="15" fillId="0" borderId="22" xfId="2" applyFont="1" applyBorder="1" applyAlignment="1">
      <alignment horizontal="center"/>
    </xf>
    <xf numFmtId="9" fontId="15" fillId="0" borderId="12" xfId="2" applyFont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3" fillId="0" borderId="36" xfId="0" applyFont="1" applyFill="1" applyBorder="1" applyAlignment="1">
      <alignment horizontal="center" vertical="center"/>
    </xf>
    <xf numFmtId="0" fontId="39" fillId="0" borderId="8" xfId="4" applyFont="1" applyBorder="1" applyAlignment="1">
      <alignment horizontal="center"/>
    </xf>
    <xf numFmtId="0" fontId="39" fillId="0" borderId="9" xfId="4" applyFont="1" applyBorder="1" applyAlignment="1">
      <alignment horizontal="center"/>
    </xf>
    <xf numFmtId="0" fontId="39" fillId="0" borderId="10" xfId="4" applyFont="1" applyBorder="1" applyAlignment="1">
      <alignment horizontal="center"/>
    </xf>
    <xf numFmtId="0" fontId="12" fillId="10" borderId="5" xfId="0" applyFont="1" applyFill="1" applyBorder="1" applyAlignment="1">
      <alignment horizontal="center" vertical="center"/>
    </xf>
    <xf numFmtId="0" fontId="12" fillId="10" borderId="6" xfId="0" applyFont="1" applyFill="1" applyBorder="1" applyAlignment="1">
      <alignment horizontal="center" vertical="center"/>
    </xf>
    <xf numFmtId="0" fontId="24" fillId="10" borderId="21" xfId="0" applyFont="1" applyFill="1" applyBorder="1" applyAlignment="1">
      <alignment horizontal="center"/>
    </xf>
    <xf numFmtId="0" fontId="24" fillId="10" borderId="22" xfId="0" applyFont="1" applyFill="1" applyBorder="1" applyAlignment="1">
      <alignment horizontal="center"/>
    </xf>
    <xf numFmtId="0" fontId="24" fillId="10" borderId="12" xfId="0" applyFont="1" applyFill="1" applyBorder="1" applyAlignment="1">
      <alignment horizontal="center"/>
    </xf>
  </cellXfs>
  <cellStyles count="36">
    <cellStyle name="Hiperlink" xfId="1" builtinId="8"/>
    <cellStyle name="Moeda 2" xfId="6"/>
    <cellStyle name="Moeda 3" xfId="7"/>
    <cellStyle name="Normal" xfId="0" builtinId="0"/>
    <cellStyle name="Normal 10" xfId="26"/>
    <cellStyle name="Normal 11" xfId="27"/>
    <cellStyle name="Normal 12" xfId="30"/>
    <cellStyle name="Normal 13" xfId="32"/>
    <cellStyle name="Normal 14" xfId="34"/>
    <cellStyle name="Normal 2" xfId="8"/>
    <cellStyle name="Normal 2 2" xfId="9"/>
    <cellStyle name="Normal 2 3" xfId="25"/>
    <cellStyle name="Normal 3" xfId="10"/>
    <cellStyle name="Normal 4" xfId="11"/>
    <cellStyle name="Normal 5" xfId="12"/>
    <cellStyle name="Normal 6" xfId="4"/>
    <cellStyle name="Normal 7" xfId="13"/>
    <cellStyle name="Normal 8" xfId="14"/>
    <cellStyle name="Normal 9" xfId="15"/>
    <cellStyle name="Porcentagem" xfId="2" builtinId="5"/>
    <cellStyle name="Porcentagem 2" xfId="16"/>
    <cellStyle name="Porcentagem 3" xfId="17"/>
    <cellStyle name="Separador de milhares 10" xfId="28"/>
    <cellStyle name="Separador de milhares 11" xfId="31"/>
    <cellStyle name="Separador de milhares 12" xfId="33"/>
    <cellStyle name="Separador de milhares 13" xfId="35"/>
    <cellStyle name="Separador de milhares 2" xfId="18"/>
    <cellStyle name="Separador de milhares 3" xfId="19"/>
    <cellStyle name="Separador de milhares 4" xfId="20"/>
    <cellStyle name="Separador de milhares 5" xfId="5"/>
    <cellStyle name="Separador de milhares 6" xfId="21"/>
    <cellStyle name="Separador de milhares 7" xfId="22"/>
    <cellStyle name="Separador de milhares 8" xfId="23"/>
    <cellStyle name="Separador de milhares 9" xfId="29"/>
    <cellStyle name="Vírgula" xfId="3" builtinId="3"/>
    <cellStyle name="Vírgula 2" xfId="24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</xdr:row>
      <xdr:rowOff>28575</xdr:rowOff>
    </xdr:from>
    <xdr:to>
      <xdr:col>0</xdr:col>
      <xdr:colOff>1419225</xdr:colOff>
      <xdr:row>6</xdr:row>
      <xdr:rowOff>66675</xdr:rowOff>
    </xdr:to>
    <xdr:pic>
      <xdr:nvPicPr>
        <xdr:cNvPr id="65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19100"/>
          <a:ext cx="1285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7</xdr:row>
      <xdr:rowOff>9525</xdr:rowOff>
    </xdr:from>
    <xdr:to>
      <xdr:col>0</xdr:col>
      <xdr:colOff>2124075</xdr:colOff>
      <xdr:row>9</xdr:row>
      <xdr:rowOff>57150</xdr:rowOff>
    </xdr:to>
    <xdr:pic>
      <xdr:nvPicPr>
        <xdr:cNvPr id="65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85825"/>
          <a:ext cx="20383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12"/>
  <sheetViews>
    <sheetView tabSelected="1" zoomScaleNormal="100" zoomScaleSheetLayoutView="100" workbookViewId="0">
      <selection activeCell="A4" sqref="A4:F4"/>
    </sheetView>
  </sheetViews>
  <sheetFormatPr defaultColWidth="9.140625" defaultRowHeight="12.75" x14ac:dyDescent="0.2"/>
  <cols>
    <col min="1" max="1" width="47.85546875" style="9" customWidth="1"/>
    <col min="2" max="2" width="18.28515625" style="9" customWidth="1"/>
    <col min="3" max="3" width="11.85546875" style="9" customWidth="1"/>
    <col min="4" max="4" width="14.7109375" style="10" customWidth="1"/>
    <col min="5" max="5" width="15.42578125" style="10" customWidth="1"/>
    <col min="6" max="6" width="13.28515625" style="10" customWidth="1"/>
    <col min="7" max="7" width="28.140625" style="10" customWidth="1"/>
    <col min="8" max="8" width="9.140625" style="9"/>
    <col min="9" max="9" width="14.5703125" style="9" customWidth="1"/>
    <col min="10" max="10" width="13.42578125" style="9" customWidth="1"/>
    <col min="11" max="16384" width="9.140625" style="9"/>
  </cols>
  <sheetData>
    <row r="1" spans="1:7" ht="15.75" x14ac:dyDescent="0.2">
      <c r="A1" s="291"/>
    </row>
    <row r="2" spans="1:7" s="4" customFormat="1" ht="16.5" customHeight="1" thickBot="1" x14ac:dyDescent="0.25">
      <c r="A2" s="323"/>
      <c r="B2" s="5"/>
      <c r="C2" s="5"/>
      <c r="D2" s="6"/>
      <c r="E2" s="6"/>
      <c r="F2" s="6"/>
      <c r="G2" s="6"/>
    </row>
    <row r="3" spans="1:7" s="8" customFormat="1" ht="18" x14ac:dyDescent="0.2">
      <c r="A3" s="372" t="s">
        <v>326</v>
      </c>
      <c r="B3" s="373"/>
      <c r="C3" s="373"/>
      <c r="D3" s="373"/>
      <c r="E3" s="373"/>
      <c r="F3" s="374"/>
      <c r="G3" s="36"/>
    </row>
    <row r="4" spans="1:7" s="8" customFormat="1" ht="32.25" customHeight="1" x14ac:dyDescent="0.2">
      <c r="A4" s="375" t="s">
        <v>339</v>
      </c>
      <c r="B4" s="376"/>
      <c r="C4" s="376"/>
      <c r="D4" s="376"/>
      <c r="E4" s="376"/>
      <c r="F4" s="377"/>
      <c r="G4" s="36"/>
    </row>
    <row r="5" spans="1:7" s="4" customFormat="1" ht="10.9" customHeight="1" thickBot="1" x14ac:dyDescent="0.25">
      <c r="A5" s="142"/>
      <c r="B5" s="143"/>
      <c r="C5" s="143"/>
      <c r="D5" s="144"/>
      <c r="E5" s="144"/>
      <c r="F5" s="145"/>
      <c r="G5" s="6"/>
    </row>
    <row r="6" spans="1:7" s="4" customFormat="1" ht="15.75" customHeight="1" thickBot="1" x14ac:dyDescent="0.25">
      <c r="A6" s="378" t="s">
        <v>194</v>
      </c>
      <c r="B6" s="379"/>
      <c r="C6" s="379"/>
      <c r="D6" s="379"/>
      <c r="E6" s="379"/>
      <c r="F6" s="380"/>
      <c r="G6" s="6"/>
    </row>
    <row r="7" spans="1:7" s="4" customFormat="1" ht="15.75" customHeight="1" x14ac:dyDescent="0.2">
      <c r="A7" s="63" t="s">
        <v>193</v>
      </c>
      <c r="B7" s="39"/>
      <c r="C7" s="39"/>
      <c r="D7" s="251"/>
      <c r="E7" s="109" t="s">
        <v>39</v>
      </c>
      <c r="F7" s="40" t="s">
        <v>2</v>
      </c>
      <c r="G7" s="6"/>
    </row>
    <row r="8" spans="1:7" s="11" customFormat="1" ht="15.75" customHeight="1" x14ac:dyDescent="0.2">
      <c r="A8" s="119" t="str">
        <f>A43</f>
        <v>1. Mão-de-obra</v>
      </c>
      <c r="B8" s="120"/>
      <c r="C8" s="121"/>
      <c r="D8" s="121"/>
      <c r="E8" s="248">
        <f>+F122</f>
        <v>0</v>
      </c>
      <c r="F8" s="122">
        <f t="shared" ref="F8:F25" si="0">IFERROR(E8/$E$26,0)</f>
        <v>0</v>
      </c>
      <c r="G8" s="43"/>
    </row>
    <row r="9" spans="1:7" s="4" customFormat="1" ht="15.75" customHeight="1" x14ac:dyDescent="0.2">
      <c r="A9" s="48" t="str">
        <f>A45</f>
        <v>1.1. Coletor Turno Dia</v>
      </c>
      <c r="B9" s="44"/>
      <c r="C9" s="46"/>
      <c r="D9" s="46"/>
      <c r="E9" s="249">
        <f>F56</f>
        <v>0</v>
      </c>
      <c r="F9" s="57">
        <f t="shared" si="0"/>
        <v>0</v>
      </c>
      <c r="G9" s="6"/>
    </row>
    <row r="10" spans="1:7" s="4" customFormat="1" ht="15.75" hidden="1" customHeight="1" x14ac:dyDescent="0.2">
      <c r="A10" s="48" t="str">
        <f>A58</f>
        <v>1.2. Coletor Turno Noite</v>
      </c>
      <c r="B10" s="44"/>
      <c r="C10" s="46"/>
      <c r="D10" s="46"/>
      <c r="E10" s="249" t="e">
        <f>F75</f>
        <v>#REF!</v>
      </c>
      <c r="F10" s="57">
        <f t="shared" si="0"/>
        <v>0</v>
      </c>
      <c r="G10" s="6"/>
    </row>
    <row r="11" spans="1:7" s="4" customFormat="1" ht="15.75" customHeight="1" x14ac:dyDescent="0.2">
      <c r="A11" s="48" t="str">
        <f>A77</f>
        <v>1.3. Motorista Turno do Dia</v>
      </c>
      <c r="B11" s="44"/>
      <c r="C11" s="46"/>
      <c r="D11" s="46"/>
      <c r="E11" s="249">
        <f>F90</f>
        <v>0</v>
      </c>
      <c r="F11" s="57">
        <f t="shared" si="0"/>
        <v>0</v>
      </c>
      <c r="G11" s="6"/>
    </row>
    <row r="12" spans="1:7" s="4" customFormat="1" ht="15.75" customHeight="1" x14ac:dyDescent="0.2">
      <c r="A12" s="48" t="str">
        <f>A93</f>
        <v>1.4. Encarregado/Supervisor</v>
      </c>
      <c r="B12" s="44"/>
      <c r="C12" s="46"/>
      <c r="D12" s="46"/>
      <c r="E12" s="249">
        <f>F112</f>
        <v>0</v>
      </c>
      <c r="F12" s="57">
        <f t="shared" si="0"/>
        <v>0</v>
      </c>
      <c r="G12" s="6"/>
    </row>
    <row r="13" spans="1:7" s="4" customFormat="1" ht="15.75" customHeight="1" x14ac:dyDescent="0.2">
      <c r="A13" s="48" t="str">
        <f>A115</f>
        <v>1.5. Vale-refeição (diário)</v>
      </c>
      <c r="B13" s="44"/>
      <c r="C13" s="46"/>
      <c r="D13" s="46"/>
      <c r="E13" s="249">
        <f>F119</f>
        <v>0</v>
      </c>
      <c r="F13" s="57">
        <f t="shared" si="0"/>
        <v>0</v>
      </c>
      <c r="G13" s="6"/>
    </row>
    <row r="14" spans="1:7" s="11" customFormat="1" ht="15.75" customHeight="1" x14ac:dyDescent="0.2">
      <c r="A14" s="381" t="str">
        <f>A124</f>
        <v>2. Uniformes e Equipamentos de Proteção Individual</v>
      </c>
      <c r="B14" s="382"/>
      <c r="C14" s="382"/>
      <c r="D14" s="121"/>
      <c r="E14" s="248">
        <f>+F156</f>
        <v>0</v>
      </c>
      <c r="F14" s="122">
        <f t="shared" si="0"/>
        <v>0</v>
      </c>
      <c r="G14" s="43"/>
    </row>
    <row r="15" spans="1:7" s="11" customFormat="1" ht="15.75" customHeight="1" x14ac:dyDescent="0.2">
      <c r="A15" s="333" t="str">
        <f>A158</f>
        <v>3. Veículos e Equipamentos</v>
      </c>
      <c r="B15" s="130"/>
      <c r="C15" s="121"/>
      <c r="D15" s="121"/>
      <c r="E15" s="248">
        <f>+F237</f>
        <v>0</v>
      </c>
      <c r="F15" s="122">
        <f t="shared" si="0"/>
        <v>0</v>
      </c>
      <c r="G15" s="43"/>
    </row>
    <row r="16" spans="1:7" s="4" customFormat="1" ht="15.75" customHeight="1" x14ac:dyDescent="0.2">
      <c r="A16" s="64" t="str">
        <f>A160</f>
        <v>3.1. Veículo Coletor com compactador</v>
      </c>
      <c r="B16" s="45"/>
      <c r="C16" s="46"/>
      <c r="D16" s="46"/>
      <c r="E16" s="249">
        <f>SUM(E17:E22)</f>
        <v>0</v>
      </c>
      <c r="F16" s="135">
        <f t="shared" si="0"/>
        <v>0</v>
      </c>
      <c r="G16" s="6"/>
    </row>
    <row r="17" spans="1:7" s="4" customFormat="1" ht="15.75" customHeight="1" x14ac:dyDescent="0.2">
      <c r="A17" s="64" t="str">
        <f>A162</f>
        <v>3.1.1. Depreciação</v>
      </c>
      <c r="B17" s="45"/>
      <c r="C17" s="46"/>
      <c r="D17" s="46"/>
      <c r="E17" s="249">
        <f>F176</f>
        <v>0</v>
      </c>
      <c r="F17" s="135">
        <f t="shared" si="0"/>
        <v>0</v>
      </c>
      <c r="G17" s="6"/>
    </row>
    <row r="18" spans="1:7" s="4" customFormat="1" ht="15.75" customHeight="1" x14ac:dyDescent="0.2">
      <c r="A18" s="64" t="str">
        <f>A178</f>
        <v>3.1.2. Remuneração do Capital</v>
      </c>
      <c r="B18" s="45"/>
      <c r="C18" s="46"/>
      <c r="D18" s="46"/>
      <c r="E18" s="249">
        <f>F192</f>
        <v>0</v>
      </c>
      <c r="F18" s="135">
        <f t="shared" si="0"/>
        <v>0</v>
      </c>
      <c r="G18" s="6"/>
    </row>
    <row r="19" spans="1:7" s="4" customFormat="1" ht="15.75" customHeight="1" x14ac:dyDescent="0.2">
      <c r="A19" s="64" t="str">
        <f>A194</f>
        <v>3.1.3. Impostos e Seguros</v>
      </c>
      <c r="B19" s="45"/>
      <c r="C19" s="46"/>
      <c r="D19" s="46"/>
      <c r="E19" s="249">
        <f>F200</f>
        <v>0</v>
      </c>
      <c r="F19" s="135">
        <f t="shared" si="0"/>
        <v>0</v>
      </c>
      <c r="G19" s="6"/>
    </row>
    <row r="20" spans="1:7" s="4" customFormat="1" ht="15.75" customHeight="1" x14ac:dyDescent="0.2">
      <c r="A20" s="64" t="str">
        <f>A202</f>
        <v>3.1.4. Consumos</v>
      </c>
      <c r="B20" s="45"/>
      <c r="C20" s="46"/>
      <c r="D20" s="46"/>
      <c r="E20" s="249">
        <f>F220</f>
        <v>0</v>
      </c>
      <c r="F20" s="135">
        <f t="shared" si="0"/>
        <v>0</v>
      </c>
      <c r="G20" s="6"/>
    </row>
    <row r="21" spans="1:7" s="4" customFormat="1" ht="15.75" customHeight="1" x14ac:dyDescent="0.2">
      <c r="A21" s="64" t="str">
        <f>A222</f>
        <v>3.1.5. Manutenção</v>
      </c>
      <c r="B21" s="45"/>
      <c r="C21" s="46"/>
      <c r="D21" s="46"/>
      <c r="E21" s="249">
        <f>F225</f>
        <v>0</v>
      </c>
      <c r="F21" s="135">
        <f t="shared" si="0"/>
        <v>0</v>
      </c>
      <c r="G21" s="6"/>
    </row>
    <row r="22" spans="1:7" s="4" customFormat="1" ht="15.75" customHeight="1" x14ac:dyDescent="0.2">
      <c r="A22" s="64" t="str">
        <f>A227</f>
        <v>3.1.6. Pneus</v>
      </c>
      <c r="B22" s="45"/>
      <c r="C22" s="46"/>
      <c r="D22" s="46"/>
      <c r="E22" s="249">
        <f>F234</f>
        <v>0</v>
      </c>
      <c r="F22" s="135">
        <f t="shared" si="0"/>
        <v>0</v>
      </c>
      <c r="G22" s="6"/>
    </row>
    <row r="23" spans="1:7" s="11" customFormat="1" ht="15.75" customHeight="1" x14ac:dyDescent="0.2">
      <c r="A23" s="333" t="str">
        <f>A239</f>
        <v>4. Ferramentas e Materiais de Consumo</v>
      </c>
      <c r="B23" s="130"/>
      <c r="C23" s="121"/>
      <c r="D23" s="121"/>
      <c r="E23" s="248">
        <f>+F249</f>
        <v>0</v>
      </c>
      <c r="F23" s="122">
        <f t="shared" si="0"/>
        <v>0</v>
      </c>
      <c r="G23" s="43"/>
    </row>
    <row r="24" spans="1:7" s="11" customFormat="1" ht="15.75" customHeight="1" x14ac:dyDescent="0.2">
      <c r="A24" s="333" t="str">
        <f>A251</f>
        <v>5. Monitoramento da Frota</v>
      </c>
      <c r="B24" s="130"/>
      <c r="C24" s="121"/>
      <c r="D24" s="121"/>
      <c r="E24" s="248">
        <f>+F260</f>
        <v>0</v>
      </c>
      <c r="F24" s="122">
        <f t="shared" si="0"/>
        <v>0</v>
      </c>
      <c r="G24" s="43"/>
    </row>
    <row r="25" spans="1:7" s="11" customFormat="1" ht="15.75" customHeight="1" thickBot="1" x14ac:dyDescent="0.25">
      <c r="A25" s="333" t="str">
        <f>A264</f>
        <v>6. Benefícios e Despesas Indiretas - BDI</v>
      </c>
      <c r="B25" s="130"/>
      <c r="C25" s="121"/>
      <c r="D25" s="121"/>
      <c r="E25" s="250">
        <f>+F270</f>
        <v>0</v>
      </c>
      <c r="F25" s="122">
        <f t="shared" si="0"/>
        <v>0</v>
      </c>
      <c r="G25" s="43"/>
    </row>
    <row r="26" spans="1:7" s="4" customFormat="1" ht="15.75" customHeight="1" thickBot="1" x14ac:dyDescent="0.25">
      <c r="A26" s="41" t="s">
        <v>235</v>
      </c>
      <c r="B26" s="42"/>
      <c r="C26" s="26"/>
      <c r="D26" s="26"/>
      <c r="E26" s="108">
        <f>E8+E14+E15+E23+E24+E25</f>
        <v>0</v>
      </c>
      <c r="F26" s="134">
        <f>F8+F14+F15+F23+F24+F25</f>
        <v>0</v>
      </c>
      <c r="G26" s="6"/>
    </row>
    <row r="28" spans="1:7" ht="13.5" thickBot="1" x14ac:dyDescent="0.25"/>
    <row r="29" spans="1:7" s="4" customFormat="1" ht="15" customHeight="1" thickBot="1" x14ac:dyDescent="0.25">
      <c r="A29" s="378" t="s">
        <v>95</v>
      </c>
      <c r="B29" s="379"/>
      <c r="C29" s="379"/>
      <c r="D29" s="379"/>
      <c r="E29" s="380"/>
      <c r="F29" s="10"/>
      <c r="G29" s="6"/>
    </row>
    <row r="30" spans="1:7" s="4" customFormat="1" ht="15" customHeight="1" thickBot="1" x14ac:dyDescent="0.25">
      <c r="A30" s="383" t="s">
        <v>40</v>
      </c>
      <c r="B30" s="384"/>
      <c r="C30" s="384"/>
      <c r="D30" s="385"/>
      <c r="E30" s="47" t="s">
        <v>41</v>
      </c>
      <c r="F30" s="10"/>
      <c r="G30" s="6"/>
    </row>
    <row r="31" spans="1:7" s="4" customFormat="1" ht="15" customHeight="1" x14ac:dyDescent="0.2">
      <c r="A31" s="72" t="str">
        <f>+A45</f>
        <v>1.1. Coletor Turno Dia</v>
      </c>
      <c r="B31" s="73"/>
      <c r="C31" s="73"/>
      <c r="D31" s="74"/>
      <c r="E31" s="75">
        <v>3</v>
      </c>
      <c r="F31" s="10"/>
      <c r="G31" s="6"/>
    </row>
    <row r="32" spans="1:7" s="4" customFormat="1" ht="15" hidden="1" customHeight="1" x14ac:dyDescent="0.2">
      <c r="A32" s="66" t="str">
        <f>+A58</f>
        <v>1.2. Coletor Turno Noite</v>
      </c>
      <c r="B32" s="65"/>
      <c r="C32" s="65"/>
      <c r="D32" s="76"/>
      <c r="E32" s="69">
        <f>C74</f>
        <v>0</v>
      </c>
      <c r="F32" s="10"/>
      <c r="G32" s="6"/>
    </row>
    <row r="33" spans="1:7" s="4" customFormat="1" ht="15" customHeight="1" x14ac:dyDescent="0.2">
      <c r="A33" s="66" t="str">
        <f>+A77</f>
        <v>1.3. Motorista Turno do Dia</v>
      </c>
      <c r="B33" s="65"/>
      <c r="C33" s="65"/>
      <c r="D33" s="76"/>
      <c r="E33" s="69">
        <f>C89</f>
        <v>1</v>
      </c>
      <c r="F33" s="10"/>
      <c r="G33" s="6"/>
    </row>
    <row r="34" spans="1:7" s="4" customFormat="1" ht="15" customHeight="1" x14ac:dyDescent="0.2">
      <c r="A34" s="66"/>
      <c r="B34" s="65"/>
      <c r="C34" s="65"/>
      <c r="D34" s="76"/>
      <c r="E34" s="69"/>
      <c r="F34" s="10"/>
      <c r="G34" s="6"/>
    </row>
    <row r="35" spans="1:7" s="4" customFormat="1" ht="15" customHeight="1" thickBot="1" x14ac:dyDescent="0.25">
      <c r="A35" s="70" t="s">
        <v>58</v>
      </c>
      <c r="B35" s="71"/>
      <c r="C35" s="71"/>
      <c r="D35" s="77"/>
      <c r="E35" s="78">
        <f>SUM(E31:E34)</f>
        <v>4</v>
      </c>
      <c r="F35" s="10"/>
      <c r="G35" s="6"/>
    </row>
    <row r="36" spans="1:7" s="4" customFormat="1" ht="15" customHeight="1" thickBot="1" x14ac:dyDescent="0.25">
      <c r="A36" s="123"/>
      <c r="B36" s="124"/>
      <c r="C36" s="58"/>
      <c r="D36" s="58"/>
      <c r="E36" s="125"/>
      <c r="F36" s="10"/>
      <c r="G36" s="6"/>
    </row>
    <row r="37" spans="1:7" s="4" customFormat="1" ht="15" customHeight="1" x14ac:dyDescent="0.2">
      <c r="A37" s="370" t="s">
        <v>56</v>
      </c>
      <c r="B37" s="371"/>
      <c r="C37" s="371"/>
      <c r="D37" s="371"/>
      <c r="E37" s="47" t="s">
        <v>41</v>
      </c>
      <c r="F37" s="9"/>
      <c r="G37" s="6"/>
    </row>
    <row r="38" spans="1:7" s="4" customFormat="1" ht="15" customHeight="1" thickBot="1" x14ac:dyDescent="0.25">
      <c r="A38" s="126" t="str">
        <f>+A160</f>
        <v>3.1. Veículo Coletor com compactador</v>
      </c>
      <c r="B38" s="127"/>
      <c r="C38" s="127"/>
      <c r="D38" s="128"/>
      <c r="E38" s="129">
        <v>1.21</v>
      </c>
      <c r="F38" s="9"/>
      <c r="G38" s="6"/>
    </row>
    <row r="39" spans="1:7" s="4" customFormat="1" ht="15" customHeight="1" x14ac:dyDescent="0.2">
      <c r="A39" s="58"/>
      <c r="B39" s="58"/>
      <c r="C39" s="58"/>
      <c r="D39" s="53"/>
      <c r="E39" s="241"/>
      <c r="F39" s="9"/>
      <c r="G39" s="6"/>
    </row>
    <row r="40" spans="1:7" s="4" customFormat="1" ht="13.5" thickBot="1" x14ac:dyDescent="0.25">
      <c r="A40" s="58"/>
      <c r="B40" s="58"/>
      <c r="C40" s="58"/>
      <c r="D40" s="53"/>
      <c r="E40" s="67"/>
      <c r="F40" s="9"/>
      <c r="G40" s="6"/>
    </row>
    <row r="41" spans="1:7" s="11" customFormat="1" ht="15.75" customHeight="1" thickBot="1" x14ac:dyDescent="0.25">
      <c r="A41" s="252" t="s">
        <v>188</v>
      </c>
      <c r="B41" s="315">
        <v>0.9</v>
      </c>
      <c r="C41" s="35"/>
      <c r="D41" s="34"/>
      <c r="E41" s="147"/>
      <c r="G41" s="43"/>
    </row>
    <row r="42" spans="1:7" s="4" customFormat="1" ht="15.75" customHeight="1" x14ac:dyDescent="0.2">
      <c r="A42" s="58"/>
      <c r="B42" s="58"/>
      <c r="C42" s="58"/>
      <c r="D42" s="53"/>
      <c r="E42" s="67"/>
      <c r="F42" s="9"/>
      <c r="G42" s="6"/>
    </row>
    <row r="43" spans="1:7" ht="13.15" customHeight="1" x14ac:dyDescent="0.2">
      <c r="A43" s="11" t="s">
        <v>47</v>
      </c>
    </row>
    <row r="44" spans="1:7" ht="11.25" customHeight="1" x14ac:dyDescent="0.2"/>
    <row r="45" spans="1:7" ht="13.9" customHeight="1" thickBot="1" x14ac:dyDescent="0.25">
      <c r="A45" s="51" t="s">
        <v>98</v>
      </c>
      <c r="B45" s="51"/>
      <c r="C45" s="51"/>
      <c r="D45" s="106"/>
      <c r="E45" s="106"/>
      <c r="F45" s="106"/>
      <c r="G45" s="106"/>
    </row>
    <row r="46" spans="1:7" ht="13.9" customHeight="1" thickBot="1" x14ac:dyDescent="0.25">
      <c r="A46" s="335" t="s">
        <v>63</v>
      </c>
      <c r="B46" s="336" t="s">
        <v>64</v>
      </c>
      <c r="C46" s="336" t="s">
        <v>41</v>
      </c>
      <c r="D46" s="337" t="s">
        <v>231</v>
      </c>
      <c r="E46" s="337" t="s">
        <v>65</v>
      </c>
      <c r="F46" s="338" t="s">
        <v>66</v>
      </c>
      <c r="G46" s="106"/>
    </row>
    <row r="47" spans="1:7" ht="13.15" customHeight="1" x14ac:dyDescent="0.2">
      <c r="A47" s="339" t="s">
        <v>208</v>
      </c>
      <c r="B47" s="264" t="s">
        <v>8</v>
      </c>
      <c r="C47" s="264"/>
      <c r="D47" s="340">
        <v>1397.27</v>
      </c>
      <c r="E47" s="100">
        <f>C47*D47</f>
        <v>0</v>
      </c>
      <c r="F47" s="106"/>
      <c r="G47" s="106"/>
    </row>
    <row r="48" spans="1:7" hidden="1" x14ac:dyDescent="0.2">
      <c r="A48" s="341" t="s">
        <v>35</v>
      </c>
      <c r="B48" s="265" t="s">
        <v>0</v>
      </c>
      <c r="C48" s="342"/>
      <c r="D48" s="82">
        <f>D47/220*2</f>
        <v>12.702454545454545</v>
      </c>
      <c r="E48" s="82">
        <f>C48*D48</f>
        <v>0</v>
      </c>
      <c r="F48" s="106"/>
      <c r="G48" s="106" t="s">
        <v>245</v>
      </c>
    </row>
    <row r="49" spans="1:7" ht="13.15" hidden="1" customHeight="1" x14ac:dyDescent="0.2">
      <c r="A49" s="341" t="s">
        <v>36</v>
      </c>
      <c r="B49" s="265" t="s">
        <v>0</v>
      </c>
      <c r="C49" s="342"/>
      <c r="D49" s="82">
        <f>D47/220*1.5</f>
        <v>9.5268409090909092</v>
      </c>
      <c r="E49" s="82">
        <f>C49*D49</f>
        <v>0</v>
      </c>
      <c r="F49" s="106"/>
      <c r="G49" s="106" t="s">
        <v>247</v>
      </c>
    </row>
    <row r="50" spans="1:7" ht="13.15" hidden="1" customHeight="1" x14ac:dyDescent="0.2">
      <c r="A50" s="341" t="s">
        <v>212</v>
      </c>
      <c r="B50" s="265" t="s">
        <v>34</v>
      </c>
      <c r="C50" s="51"/>
      <c r="D50" s="82">
        <f>63/302*(SUM(E48:E49))</f>
        <v>0</v>
      </c>
      <c r="E50" s="82">
        <f>D50</f>
        <v>0</v>
      </c>
      <c r="F50" s="106"/>
      <c r="G50" s="106" t="s">
        <v>211</v>
      </c>
    </row>
    <row r="51" spans="1:7" x14ac:dyDescent="0.2">
      <c r="A51" s="341" t="s">
        <v>1</v>
      </c>
      <c r="B51" s="265" t="s">
        <v>2</v>
      </c>
      <c r="C51" s="265">
        <v>40</v>
      </c>
      <c r="D51" s="82">
        <f>SUM(E47:E50)</f>
        <v>0</v>
      </c>
      <c r="E51" s="82">
        <f>C51*D51/100</f>
        <v>0</v>
      </c>
      <c r="F51" s="106"/>
      <c r="G51" s="106"/>
    </row>
    <row r="52" spans="1:7" x14ac:dyDescent="0.2">
      <c r="A52" s="343" t="s">
        <v>3</v>
      </c>
      <c r="B52" s="344"/>
      <c r="C52" s="344"/>
      <c r="D52" s="345"/>
      <c r="E52" s="346">
        <f>SUM(E47:E51)</f>
        <v>0</v>
      </c>
      <c r="F52" s="106"/>
      <c r="G52" s="106"/>
    </row>
    <row r="53" spans="1:7" x14ac:dyDescent="0.2">
      <c r="A53" s="341" t="s">
        <v>4</v>
      </c>
      <c r="B53" s="265" t="s">
        <v>2</v>
      </c>
      <c r="C53" s="82">
        <f>'2.Encargos Sociais Ajust'!C38*100</f>
        <v>68.830000000000013</v>
      </c>
      <c r="D53" s="82">
        <f>E52</f>
        <v>0</v>
      </c>
      <c r="E53" s="82">
        <f>D53*C53/100</f>
        <v>0</v>
      </c>
      <c r="F53" s="106"/>
      <c r="G53" s="106"/>
    </row>
    <row r="54" spans="1:7" x14ac:dyDescent="0.2">
      <c r="A54" s="343" t="s">
        <v>73</v>
      </c>
      <c r="B54" s="344"/>
      <c r="C54" s="344"/>
      <c r="D54" s="345"/>
      <c r="E54" s="346">
        <f>E52+E53</f>
        <v>0</v>
      </c>
      <c r="F54" s="106"/>
      <c r="G54" s="106"/>
    </row>
    <row r="55" spans="1:7" ht="13.5" thickBot="1" x14ac:dyDescent="0.25">
      <c r="A55" s="341" t="s">
        <v>5</v>
      </c>
      <c r="B55" s="265" t="s">
        <v>6</v>
      </c>
      <c r="C55" s="265">
        <v>3</v>
      </c>
      <c r="D55" s="82">
        <f>E54</f>
        <v>0</v>
      </c>
      <c r="E55" s="82">
        <f>C55*D55</f>
        <v>0</v>
      </c>
      <c r="F55" s="106"/>
      <c r="G55" s="347"/>
    </row>
    <row r="56" spans="1:7" ht="13.9" customHeight="1" thickBot="1" x14ac:dyDescent="0.25">
      <c r="A56" s="51"/>
      <c r="B56" s="51"/>
      <c r="C56" s="51"/>
      <c r="D56" s="348" t="s">
        <v>187</v>
      </c>
      <c r="E56" s="349">
        <f>$B$41</f>
        <v>0.9</v>
      </c>
      <c r="F56" s="350">
        <f>E55*E56</f>
        <v>0</v>
      </c>
      <c r="G56" s="347"/>
    </row>
    <row r="57" spans="1:7" ht="11.25" customHeight="1" x14ac:dyDescent="0.2">
      <c r="A57" s="51"/>
      <c r="B57" s="51"/>
      <c r="C57" s="51"/>
      <c r="D57" s="106"/>
      <c r="E57" s="106"/>
      <c r="F57" s="106"/>
      <c r="G57" s="106"/>
    </row>
    <row r="58" spans="1:7" ht="12.75" hidden="1" customHeight="1" x14ac:dyDescent="0.2">
      <c r="A58" s="9" t="s">
        <v>91</v>
      </c>
    </row>
    <row r="59" spans="1:7" ht="13.5" hidden="1" thickBot="1" x14ac:dyDescent="0.25">
      <c r="A59" s="59" t="s">
        <v>63</v>
      </c>
      <c r="B59" s="60" t="s">
        <v>64</v>
      </c>
      <c r="C59" s="60" t="s">
        <v>41</v>
      </c>
      <c r="D59" s="61" t="s">
        <v>231</v>
      </c>
      <c r="E59" s="61" t="s">
        <v>65</v>
      </c>
      <c r="F59" s="62" t="s">
        <v>66</v>
      </c>
    </row>
    <row r="60" spans="1:7" hidden="1" x14ac:dyDescent="0.2">
      <c r="A60" s="13" t="s">
        <v>208</v>
      </c>
      <c r="B60" s="14" t="s">
        <v>8</v>
      </c>
      <c r="C60" s="14">
        <v>1</v>
      </c>
      <c r="D60" s="15">
        <f>D47</f>
        <v>1397.27</v>
      </c>
      <c r="E60" s="15">
        <f>C60*D60</f>
        <v>1397.27</v>
      </c>
    </row>
    <row r="61" spans="1:7" hidden="1" x14ac:dyDescent="0.2">
      <c r="A61" s="16" t="s">
        <v>7</v>
      </c>
      <c r="B61" s="17" t="s">
        <v>96</v>
      </c>
      <c r="C61" s="87"/>
      <c r="D61" s="18"/>
      <c r="E61" s="18"/>
    </row>
    <row r="62" spans="1:7" hidden="1" x14ac:dyDescent="0.2">
      <c r="A62" s="16"/>
      <c r="B62" s="17" t="s">
        <v>100</v>
      </c>
      <c r="C62" s="114">
        <f>C61*8/7</f>
        <v>0</v>
      </c>
      <c r="D62" s="18">
        <f>D60/220*0.2</f>
        <v>1.2702454545454547</v>
      </c>
      <c r="E62" s="18">
        <f>C61*D62</f>
        <v>0</v>
      </c>
    </row>
    <row r="63" spans="1:7" hidden="1" x14ac:dyDescent="0.2">
      <c r="A63" s="16" t="s">
        <v>35</v>
      </c>
      <c r="B63" s="17" t="s">
        <v>0</v>
      </c>
      <c r="C63" s="87"/>
      <c r="D63" s="18">
        <f>D60/220*2</f>
        <v>12.702454545454545</v>
      </c>
      <c r="E63" s="18">
        <f>C63*D63</f>
        <v>0</v>
      </c>
      <c r="G63" s="10" t="s">
        <v>245</v>
      </c>
    </row>
    <row r="64" spans="1:7" hidden="1" x14ac:dyDescent="0.2">
      <c r="A64" s="16" t="s">
        <v>97</v>
      </c>
      <c r="B64" s="17" t="s">
        <v>96</v>
      </c>
      <c r="C64" s="87"/>
      <c r="D64" s="18"/>
      <c r="E64" s="18"/>
      <c r="G64" s="10" t="s">
        <v>246</v>
      </c>
    </row>
    <row r="65" spans="1:7" hidden="1" x14ac:dyDescent="0.2">
      <c r="A65" s="16"/>
      <c r="B65" s="17" t="s">
        <v>100</v>
      </c>
      <c r="C65" s="114">
        <f>C64*8/7</f>
        <v>0</v>
      </c>
      <c r="D65" s="18">
        <f>D60/220*2*1.2</f>
        <v>15.242945454545453</v>
      </c>
      <c r="E65" s="18">
        <f>C65*D65</f>
        <v>0</v>
      </c>
      <c r="G65" s="10" t="s">
        <v>246</v>
      </c>
    </row>
    <row r="66" spans="1:7" hidden="1" x14ac:dyDescent="0.2">
      <c r="A66" s="16" t="s">
        <v>36</v>
      </c>
      <c r="B66" s="17" t="s">
        <v>0</v>
      </c>
      <c r="C66" s="87"/>
      <c r="D66" s="18">
        <f>D60/220*1.5</f>
        <v>9.5268409090909092</v>
      </c>
      <c r="E66" s="18">
        <f>C66*D66</f>
        <v>0</v>
      </c>
      <c r="G66" s="10" t="s">
        <v>247</v>
      </c>
    </row>
    <row r="67" spans="1:7" hidden="1" x14ac:dyDescent="0.2">
      <c r="A67" s="16" t="s">
        <v>210</v>
      </c>
      <c r="B67" s="17" t="s">
        <v>96</v>
      </c>
      <c r="C67" s="87"/>
      <c r="D67" s="18"/>
      <c r="E67" s="18"/>
      <c r="G67" s="10" t="s">
        <v>248</v>
      </c>
    </row>
    <row r="68" spans="1:7" hidden="1" x14ac:dyDescent="0.2">
      <c r="A68" s="16"/>
      <c r="B68" s="17" t="s">
        <v>100</v>
      </c>
      <c r="C68" s="18">
        <f>C67*8/7</f>
        <v>0</v>
      </c>
      <c r="D68" s="18">
        <f>D60/220*1.5*1.2</f>
        <v>11.43220909090909</v>
      </c>
      <c r="E68" s="18">
        <f>C68*D68</f>
        <v>0</v>
      </c>
      <c r="G68" s="10" t="s">
        <v>248</v>
      </c>
    </row>
    <row r="69" spans="1:7" ht="13.15" hidden="1" customHeight="1" x14ac:dyDescent="0.2">
      <c r="A69" s="16" t="s">
        <v>212</v>
      </c>
      <c r="B69" s="17" t="s">
        <v>34</v>
      </c>
      <c r="D69" s="18">
        <f>63/302*(SUM(E63:E68))</f>
        <v>0</v>
      </c>
      <c r="E69" s="18">
        <f>D69</f>
        <v>0</v>
      </c>
      <c r="G69" s="10" t="s">
        <v>211</v>
      </c>
    </row>
    <row r="70" spans="1:7" hidden="1" x14ac:dyDescent="0.2">
      <c r="A70" s="16" t="s">
        <v>1</v>
      </c>
      <c r="B70" s="17" t="s">
        <v>2</v>
      </c>
      <c r="C70" s="17">
        <f>+C51</f>
        <v>40</v>
      </c>
      <c r="D70" s="82">
        <f>SUM(E60:E69)</f>
        <v>1397.27</v>
      </c>
      <c r="E70" s="18">
        <f>C70*D70/100</f>
        <v>558.90800000000002</v>
      </c>
    </row>
    <row r="71" spans="1:7" hidden="1" x14ac:dyDescent="0.2">
      <c r="A71" s="110" t="s">
        <v>3</v>
      </c>
      <c r="B71" s="111"/>
      <c r="C71" s="111"/>
      <c r="D71" s="112"/>
      <c r="E71" s="113">
        <f>SUM(E60:E70)</f>
        <v>1956.1779999999999</v>
      </c>
    </row>
    <row r="72" spans="1:7" hidden="1" x14ac:dyDescent="0.2">
      <c r="A72" s="16" t="s">
        <v>4</v>
      </c>
      <c r="B72" s="17" t="s">
        <v>2</v>
      </c>
      <c r="C72" s="132" t="e">
        <f>#REF!*100</f>
        <v>#REF!</v>
      </c>
      <c r="D72" s="18">
        <f>E71</f>
        <v>1956.1779999999999</v>
      </c>
      <c r="E72" s="18" t="e">
        <f>D72*C72/100</f>
        <v>#REF!</v>
      </c>
    </row>
    <row r="73" spans="1:7" hidden="1" x14ac:dyDescent="0.2">
      <c r="A73" s="110" t="s">
        <v>73</v>
      </c>
      <c r="B73" s="111"/>
      <c r="C73" s="111"/>
      <c r="D73" s="112"/>
      <c r="E73" s="113" t="e">
        <f>E71+E72</f>
        <v>#REF!</v>
      </c>
    </row>
    <row r="74" spans="1:7" hidden="1" x14ac:dyDescent="0.2">
      <c r="A74" s="16" t="s">
        <v>5</v>
      </c>
      <c r="B74" s="17" t="s">
        <v>6</v>
      </c>
      <c r="C74" s="85"/>
      <c r="D74" s="18" t="e">
        <f>E73</f>
        <v>#REF!</v>
      </c>
      <c r="E74" s="18" t="e">
        <f>C74*D74</f>
        <v>#REF!</v>
      </c>
    </row>
    <row r="75" spans="1:7" ht="13.5" hidden="1" thickBot="1" x14ac:dyDescent="0.25">
      <c r="D75" s="117" t="s">
        <v>187</v>
      </c>
      <c r="E75" s="49">
        <f>$B$41</f>
        <v>0.9</v>
      </c>
      <c r="F75" s="118" t="e">
        <f>E74*E75</f>
        <v>#REF!</v>
      </c>
    </row>
    <row r="76" spans="1:7" ht="11.25" customHeight="1" x14ac:dyDescent="0.2"/>
    <row r="77" spans="1:7" ht="13.5" thickBot="1" x14ac:dyDescent="0.25">
      <c r="A77" s="51" t="s">
        <v>99</v>
      </c>
      <c r="B77" s="51"/>
      <c r="C77" s="51"/>
      <c r="D77" s="106"/>
      <c r="E77" s="106"/>
      <c r="F77" s="106"/>
      <c r="G77" s="106"/>
    </row>
    <row r="78" spans="1:7" s="12" customFormat="1" ht="13.15" customHeight="1" thickBot="1" x14ac:dyDescent="0.25">
      <c r="A78" s="335" t="s">
        <v>63</v>
      </c>
      <c r="B78" s="336" t="s">
        <v>64</v>
      </c>
      <c r="C78" s="336" t="s">
        <v>41</v>
      </c>
      <c r="D78" s="337" t="s">
        <v>231</v>
      </c>
      <c r="E78" s="337" t="s">
        <v>65</v>
      </c>
      <c r="F78" s="338" t="s">
        <v>66</v>
      </c>
      <c r="G78" s="106"/>
    </row>
    <row r="79" spans="1:7" x14ac:dyDescent="0.2">
      <c r="A79" s="351" t="s">
        <v>284</v>
      </c>
      <c r="B79" s="264" t="s">
        <v>8</v>
      </c>
      <c r="C79" s="264"/>
      <c r="D79" s="340">
        <v>1699.28</v>
      </c>
      <c r="E79" s="100">
        <f>C79*D79</f>
        <v>0</v>
      </c>
      <c r="F79" s="106"/>
      <c r="G79" s="106"/>
    </row>
    <row r="80" spans="1:7" x14ac:dyDescent="0.2">
      <c r="A80" s="351" t="s">
        <v>285</v>
      </c>
      <c r="B80" s="264" t="s">
        <v>8</v>
      </c>
      <c r="C80" s="264"/>
      <c r="D80" s="100">
        <v>1100</v>
      </c>
      <c r="E80" s="100"/>
      <c r="F80" s="106"/>
      <c r="G80" s="106"/>
    </row>
    <row r="81" spans="1:7" hidden="1" x14ac:dyDescent="0.2">
      <c r="A81" s="341" t="s">
        <v>35</v>
      </c>
      <c r="B81" s="265" t="s">
        <v>0</v>
      </c>
      <c r="C81" s="342"/>
      <c r="D81" s="82">
        <f>D79/220*2</f>
        <v>15.448</v>
      </c>
      <c r="E81" s="82">
        <f>C81*D81</f>
        <v>0</v>
      </c>
      <c r="F81" s="106"/>
      <c r="G81" s="106" t="s">
        <v>245</v>
      </c>
    </row>
    <row r="82" spans="1:7" hidden="1" x14ac:dyDescent="0.2">
      <c r="A82" s="341" t="s">
        <v>36</v>
      </c>
      <c r="B82" s="265" t="s">
        <v>0</v>
      </c>
      <c r="C82" s="342"/>
      <c r="D82" s="82">
        <f>D79/220*1.5</f>
        <v>11.586</v>
      </c>
      <c r="E82" s="82">
        <f>C82*D82</f>
        <v>0</v>
      </c>
      <c r="F82" s="106"/>
      <c r="G82" s="106" t="s">
        <v>247</v>
      </c>
    </row>
    <row r="83" spans="1:7" ht="13.15" hidden="1" customHeight="1" x14ac:dyDescent="0.2">
      <c r="A83" s="341" t="s">
        <v>212</v>
      </c>
      <c r="B83" s="265" t="s">
        <v>34</v>
      </c>
      <c r="C83" s="51"/>
      <c r="D83" s="82">
        <f>63/302*(SUM(E81:E82))</f>
        <v>0</v>
      </c>
      <c r="E83" s="82">
        <f>D83</f>
        <v>0</v>
      </c>
      <c r="F83" s="106"/>
      <c r="G83" s="106" t="s">
        <v>211</v>
      </c>
    </row>
    <row r="84" spans="1:7" x14ac:dyDescent="0.2">
      <c r="A84" s="341" t="s">
        <v>209</v>
      </c>
      <c r="B84" s="265"/>
      <c r="C84" s="115">
        <v>1</v>
      </c>
      <c r="D84" s="82"/>
      <c r="E84" s="82"/>
      <c r="F84" s="106"/>
      <c r="G84" s="106"/>
    </row>
    <row r="85" spans="1:7" x14ac:dyDescent="0.2">
      <c r="A85" s="341" t="s">
        <v>1</v>
      </c>
      <c r="B85" s="265" t="s">
        <v>2</v>
      </c>
      <c r="C85" s="265">
        <v>20</v>
      </c>
      <c r="D85" s="82">
        <f>IF(C84=2,SUM(E79:E83),IF(C84=1,(SUM(E79:E83))*D80/D79,0))</f>
        <v>0</v>
      </c>
      <c r="E85" s="82">
        <f>C85*D85/100</f>
        <v>0</v>
      </c>
      <c r="F85" s="106"/>
      <c r="G85" s="106"/>
    </row>
    <row r="86" spans="1:7" s="11" customFormat="1" x14ac:dyDescent="0.2">
      <c r="A86" s="352" t="s">
        <v>3</v>
      </c>
      <c r="B86" s="344"/>
      <c r="C86" s="344"/>
      <c r="D86" s="345"/>
      <c r="E86" s="107">
        <f>SUM(E79:E85)</f>
        <v>0</v>
      </c>
      <c r="F86" s="353"/>
      <c r="G86" s="353"/>
    </row>
    <row r="87" spans="1:7" x14ac:dyDescent="0.2">
      <c r="A87" s="341" t="s">
        <v>4</v>
      </c>
      <c r="B87" s="265" t="s">
        <v>2</v>
      </c>
      <c r="C87" s="82">
        <f>'2.Encargos Sociais Ajust'!C38*100</f>
        <v>68.830000000000013</v>
      </c>
      <c r="D87" s="82">
        <f>E86</f>
        <v>0</v>
      </c>
      <c r="E87" s="82">
        <f>D87*C87/100</f>
        <v>0</v>
      </c>
      <c r="F87" s="106"/>
      <c r="G87" s="106"/>
    </row>
    <row r="88" spans="1:7" s="11" customFormat="1" x14ac:dyDescent="0.2">
      <c r="A88" s="352" t="s">
        <v>249</v>
      </c>
      <c r="B88" s="354"/>
      <c r="C88" s="354"/>
      <c r="D88" s="355"/>
      <c r="E88" s="107">
        <f>E86+E87</f>
        <v>0</v>
      </c>
      <c r="F88" s="353"/>
      <c r="G88" s="353"/>
    </row>
    <row r="89" spans="1:7" ht="13.5" thickBot="1" x14ac:dyDescent="0.25">
      <c r="A89" s="341" t="s">
        <v>5</v>
      </c>
      <c r="B89" s="265" t="s">
        <v>6</v>
      </c>
      <c r="C89" s="265">
        <v>1</v>
      </c>
      <c r="D89" s="82">
        <f>E88</f>
        <v>0</v>
      </c>
      <c r="E89" s="82">
        <f>C89*D89</f>
        <v>0</v>
      </c>
      <c r="F89" s="106"/>
      <c r="G89" s="106"/>
    </row>
    <row r="90" spans="1:7" ht="13.5" thickBot="1" x14ac:dyDescent="0.25">
      <c r="A90" s="356"/>
      <c r="B90" s="51"/>
      <c r="C90" s="51"/>
      <c r="D90" s="348" t="s">
        <v>187</v>
      </c>
      <c r="E90" s="349">
        <v>0.9</v>
      </c>
      <c r="F90" s="350">
        <f>E89*E90</f>
        <v>0</v>
      </c>
      <c r="G90" s="106"/>
    </row>
    <row r="91" spans="1:7" ht="11.25" customHeight="1" x14ac:dyDescent="0.2">
      <c r="A91" s="356"/>
      <c r="B91" s="51"/>
      <c r="C91" s="51"/>
      <c r="D91" s="106"/>
      <c r="E91" s="106"/>
      <c r="F91" s="106"/>
      <c r="G91" s="106"/>
    </row>
    <row r="92" spans="1:7" ht="11.25" customHeight="1" x14ac:dyDescent="0.2">
      <c r="A92" s="7"/>
    </row>
    <row r="93" spans="1:7" ht="13.5" thickBot="1" x14ac:dyDescent="0.25">
      <c r="A93" s="356" t="s">
        <v>313</v>
      </c>
      <c r="B93" s="51"/>
      <c r="C93" s="51"/>
      <c r="D93" s="106"/>
      <c r="E93" s="106"/>
      <c r="F93" s="106"/>
      <c r="G93" s="106"/>
    </row>
    <row r="94" spans="1:7" ht="13.5" thickBot="1" x14ac:dyDescent="0.25">
      <c r="A94" s="335" t="s">
        <v>63</v>
      </c>
      <c r="B94" s="336" t="s">
        <v>64</v>
      </c>
      <c r="C94" s="336" t="s">
        <v>41</v>
      </c>
      <c r="D94" s="337" t="s">
        <v>231</v>
      </c>
      <c r="E94" s="337" t="s">
        <v>65</v>
      </c>
      <c r="F94" s="338" t="s">
        <v>66</v>
      </c>
      <c r="G94" s="106"/>
    </row>
    <row r="95" spans="1:7" x14ac:dyDescent="0.2">
      <c r="A95" s="351" t="s">
        <v>284</v>
      </c>
      <c r="B95" s="264" t="s">
        <v>8</v>
      </c>
      <c r="C95" s="264">
        <v>0</v>
      </c>
      <c r="D95" s="100"/>
      <c r="E95" s="100">
        <f>C95*D95</f>
        <v>0</v>
      </c>
      <c r="F95" s="106"/>
      <c r="G95" s="106"/>
    </row>
    <row r="96" spans="1:7" hidden="1" x14ac:dyDescent="0.2">
      <c r="A96" s="351" t="s">
        <v>285</v>
      </c>
      <c r="B96" s="264" t="s">
        <v>8</v>
      </c>
      <c r="C96" s="264">
        <v>1</v>
      </c>
      <c r="D96" s="82">
        <f>D80</f>
        <v>1100</v>
      </c>
      <c r="E96" s="82"/>
      <c r="F96" s="106"/>
      <c r="G96" s="106"/>
    </row>
    <row r="97" spans="1:7" hidden="1" x14ac:dyDescent="0.2">
      <c r="A97" s="341" t="s">
        <v>7</v>
      </c>
      <c r="B97" s="265" t="s">
        <v>96</v>
      </c>
      <c r="C97" s="342"/>
      <c r="D97" s="341"/>
      <c r="E97" s="341"/>
      <c r="F97" s="106"/>
      <c r="G97" s="106"/>
    </row>
    <row r="98" spans="1:7" hidden="1" x14ac:dyDescent="0.2">
      <c r="A98" s="341"/>
      <c r="B98" s="265" t="s">
        <v>100</v>
      </c>
      <c r="C98" s="82">
        <f>C97*8/7</f>
        <v>0</v>
      </c>
      <c r="D98" s="82">
        <f>D95/220*0.2</f>
        <v>0</v>
      </c>
      <c r="E98" s="82">
        <f>C97*D98</f>
        <v>0</v>
      </c>
      <c r="F98" s="106"/>
      <c r="G98" s="106"/>
    </row>
    <row r="99" spans="1:7" hidden="1" x14ac:dyDescent="0.2">
      <c r="A99" s="341" t="s">
        <v>35</v>
      </c>
      <c r="B99" s="265" t="s">
        <v>0</v>
      </c>
      <c r="C99" s="342"/>
      <c r="D99" s="82">
        <f>D95/220*2</f>
        <v>0</v>
      </c>
      <c r="E99" s="82">
        <f>C99*D99</f>
        <v>0</v>
      </c>
      <c r="F99" s="106"/>
      <c r="G99" s="106" t="s">
        <v>245</v>
      </c>
    </row>
    <row r="100" spans="1:7" hidden="1" x14ac:dyDescent="0.2">
      <c r="A100" s="341" t="s">
        <v>97</v>
      </c>
      <c r="B100" s="265" t="s">
        <v>96</v>
      </c>
      <c r="C100" s="342"/>
      <c r="D100" s="82"/>
      <c r="E100" s="82"/>
      <c r="F100" s="106"/>
      <c r="G100" s="106" t="s">
        <v>246</v>
      </c>
    </row>
    <row r="101" spans="1:7" hidden="1" x14ac:dyDescent="0.2">
      <c r="A101" s="341"/>
      <c r="B101" s="265" t="s">
        <v>100</v>
      </c>
      <c r="C101" s="82">
        <f>C100*8/7</f>
        <v>0</v>
      </c>
      <c r="D101" s="82">
        <f>D95/220*2*1.2</f>
        <v>0</v>
      </c>
      <c r="E101" s="82">
        <f>C101*D101</f>
        <v>0</v>
      </c>
      <c r="F101" s="106"/>
      <c r="G101" s="106" t="s">
        <v>246</v>
      </c>
    </row>
    <row r="102" spans="1:7" hidden="1" x14ac:dyDescent="0.2">
      <c r="A102" s="341" t="s">
        <v>36</v>
      </c>
      <c r="B102" s="265" t="s">
        <v>0</v>
      </c>
      <c r="C102" s="342"/>
      <c r="D102" s="82">
        <f>D95/220*1.5</f>
        <v>0</v>
      </c>
      <c r="E102" s="82">
        <f>C102*D102</f>
        <v>0</v>
      </c>
      <c r="F102" s="106"/>
      <c r="G102" s="106" t="s">
        <v>247</v>
      </c>
    </row>
    <row r="103" spans="1:7" hidden="1" x14ac:dyDescent="0.2">
      <c r="A103" s="341" t="s">
        <v>210</v>
      </c>
      <c r="B103" s="265" t="s">
        <v>96</v>
      </c>
      <c r="C103" s="342"/>
      <c r="D103" s="82"/>
      <c r="E103" s="82"/>
      <c r="F103" s="106"/>
      <c r="G103" s="106" t="s">
        <v>248</v>
      </c>
    </row>
    <row r="104" spans="1:7" hidden="1" x14ac:dyDescent="0.2">
      <c r="A104" s="341"/>
      <c r="B104" s="265" t="s">
        <v>100</v>
      </c>
      <c r="C104" s="82">
        <f>C103*8/7</f>
        <v>0</v>
      </c>
      <c r="D104" s="82">
        <f>D95/220*1.5*1.2</f>
        <v>0</v>
      </c>
      <c r="E104" s="82">
        <f>C104*D104</f>
        <v>0</v>
      </c>
      <c r="F104" s="106"/>
      <c r="G104" s="106" t="s">
        <v>248</v>
      </c>
    </row>
    <row r="105" spans="1:7" ht="13.15" hidden="1" customHeight="1" x14ac:dyDescent="0.2">
      <c r="A105" s="341" t="s">
        <v>212</v>
      </c>
      <c r="B105" s="265" t="s">
        <v>34</v>
      </c>
      <c r="C105" s="51"/>
      <c r="D105" s="82">
        <f>63/302*(SUM(E99:E104))</f>
        <v>0</v>
      </c>
      <c r="E105" s="82">
        <f>D105</f>
        <v>0</v>
      </c>
      <c r="F105" s="106"/>
      <c r="G105" s="106" t="s">
        <v>211</v>
      </c>
    </row>
    <row r="106" spans="1:7" hidden="1" x14ac:dyDescent="0.2">
      <c r="A106" s="341" t="s">
        <v>209</v>
      </c>
      <c r="B106" s="265"/>
      <c r="C106" s="115"/>
      <c r="D106" s="82"/>
      <c r="E106" s="82"/>
      <c r="F106" s="106"/>
      <c r="G106" s="106"/>
    </row>
    <row r="107" spans="1:7" hidden="1" x14ac:dyDescent="0.2">
      <c r="A107" s="341" t="s">
        <v>1</v>
      </c>
      <c r="B107" s="265" t="s">
        <v>2</v>
      </c>
      <c r="C107" s="82">
        <f>+C85</f>
        <v>20</v>
      </c>
      <c r="D107" s="82">
        <f>IF(C106=2,SUM(E95:E105),IF(C106=1,SUM(E95:E105)*D96/D95,0))</f>
        <v>0</v>
      </c>
      <c r="E107" s="82">
        <f>C107*D107/100</f>
        <v>0</v>
      </c>
      <c r="F107" s="106"/>
      <c r="G107" s="106"/>
    </row>
    <row r="108" spans="1:7" s="11" customFormat="1" x14ac:dyDescent="0.2">
      <c r="A108" s="343" t="s">
        <v>3</v>
      </c>
      <c r="B108" s="344"/>
      <c r="C108" s="344"/>
      <c r="D108" s="345"/>
      <c r="E108" s="346">
        <f>SUM(E95:E107)</f>
        <v>0</v>
      </c>
      <c r="F108" s="353"/>
      <c r="G108" s="353"/>
    </row>
    <row r="109" spans="1:7" x14ac:dyDescent="0.2">
      <c r="A109" s="341" t="s">
        <v>4</v>
      </c>
      <c r="B109" s="265" t="s">
        <v>2</v>
      </c>
      <c r="C109" s="82">
        <f>'2.Encargos Sociais Ajust'!C38*100</f>
        <v>68.830000000000013</v>
      </c>
      <c r="D109" s="82">
        <f>E108</f>
        <v>0</v>
      </c>
      <c r="E109" s="82">
        <f>D109*C109/100</f>
        <v>0</v>
      </c>
      <c r="F109" s="106"/>
      <c r="G109" s="106"/>
    </row>
    <row r="110" spans="1:7" s="11" customFormat="1" x14ac:dyDescent="0.2">
      <c r="A110" s="343" t="s">
        <v>249</v>
      </c>
      <c r="B110" s="344"/>
      <c r="C110" s="344"/>
      <c r="D110" s="345"/>
      <c r="E110" s="346">
        <f>E108+E109</f>
        <v>0</v>
      </c>
      <c r="F110" s="353"/>
      <c r="G110" s="353"/>
    </row>
    <row r="111" spans="1:7" ht="13.5" thickBot="1" x14ac:dyDescent="0.25">
      <c r="A111" s="341" t="s">
        <v>5</v>
      </c>
      <c r="B111" s="265" t="s">
        <v>6</v>
      </c>
      <c r="C111" s="265"/>
      <c r="D111" s="82">
        <f>E110</f>
        <v>0</v>
      </c>
      <c r="E111" s="82">
        <f>C111*D111</f>
        <v>0</v>
      </c>
      <c r="F111" s="106"/>
      <c r="G111" s="106"/>
    </row>
    <row r="112" spans="1:7" ht="13.5" thickBot="1" x14ac:dyDescent="0.25">
      <c r="A112" s="357" t="s">
        <v>314</v>
      </c>
      <c r="B112" s="51"/>
      <c r="C112" s="51"/>
      <c r="D112" s="348" t="s">
        <v>187</v>
      </c>
      <c r="E112" s="349">
        <f>4/44</f>
        <v>9.0909090909090912E-2</v>
      </c>
      <c r="F112" s="350">
        <f>E111*E112</f>
        <v>0</v>
      </c>
      <c r="G112" s="106"/>
    </row>
    <row r="113" spans="1:7" ht="11.25" customHeight="1" x14ac:dyDescent="0.2">
      <c r="A113" s="51"/>
      <c r="B113" s="51"/>
      <c r="C113" s="51"/>
      <c r="D113" s="106"/>
      <c r="E113" s="106"/>
      <c r="F113" s="106"/>
      <c r="G113" s="51"/>
    </row>
    <row r="114" spans="1:7" ht="11.25" customHeight="1" x14ac:dyDescent="0.2">
      <c r="A114" s="51"/>
      <c r="B114" s="51"/>
      <c r="C114" s="51"/>
      <c r="D114" s="106"/>
      <c r="E114" s="106"/>
      <c r="F114" s="106"/>
      <c r="G114" s="51"/>
    </row>
    <row r="115" spans="1:7" ht="13.5" thickBot="1" x14ac:dyDescent="0.25">
      <c r="A115" s="356" t="s">
        <v>330</v>
      </c>
      <c r="B115" s="51"/>
      <c r="C115" s="51"/>
      <c r="D115" s="106"/>
      <c r="E115" s="106"/>
      <c r="F115" s="23"/>
      <c r="G115" s="51"/>
    </row>
    <row r="116" spans="1:7" ht="13.5" thickBot="1" x14ac:dyDescent="0.25">
      <c r="A116" s="335" t="s">
        <v>63</v>
      </c>
      <c r="B116" s="336" t="s">
        <v>64</v>
      </c>
      <c r="C116" s="336" t="s">
        <v>41</v>
      </c>
      <c r="D116" s="337" t="s">
        <v>231</v>
      </c>
      <c r="E116" s="337" t="s">
        <v>65</v>
      </c>
      <c r="F116" s="338" t="s">
        <v>66</v>
      </c>
      <c r="G116" s="51"/>
    </row>
    <row r="117" spans="1:7" x14ac:dyDescent="0.2">
      <c r="A117" s="358" t="s">
        <v>44</v>
      </c>
      <c r="B117" s="265" t="s">
        <v>9</v>
      </c>
      <c r="C117" s="96">
        <v>26</v>
      </c>
      <c r="D117" s="359"/>
      <c r="E117" s="360">
        <f>C117*D117</f>
        <v>0</v>
      </c>
      <c r="F117" s="23"/>
      <c r="G117" s="51"/>
    </row>
    <row r="118" spans="1:7" ht="13.5" thickBot="1" x14ac:dyDescent="0.25">
      <c r="A118" s="358" t="s">
        <v>74</v>
      </c>
      <c r="B118" s="265" t="s">
        <v>9</v>
      </c>
      <c r="C118" s="96">
        <v>78</v>
      </c>
      <c r="D118" s="359"/>
      <c r="E118" s="360">
        <f>C118*D118</f>
        <v>0</v>
      </c>
      <c r="F118" s="23"/>
      <c r="G118" s="51"/>
    </row>
    <row r="119" spans="1:7" ht="13.5" thickBot="1" x14ac:dyDescent="0.25">
      <c r="A119" s="51"/>
      <c r="B119" s="51"/>
      <c r="C119" s="51"/>
      <c r="D119" s="106"/>
      <c r="E119" s="106"/>
      <c r="F119" s="361">
        <f>SUM(E117:E118)</f>
        <v>0</v>
      </c>
      <c r="G119" s="51"/>
    </row>
    <row r="120" spans="1:7" x14ac:dyDescent="0.2">
      <c r="A120" s="51"/>
      <c r="B120" s="51"/>
      <c r="C120" s="51"/>
      <c r="D120" s="106"/>
      <c r="E120" s="106"/>
      <c r="F120" s="106"/>
      <c r="G120" s="51"/>
    </row>
    <row r="121" spans="1:7" ht="13.5" thickBot="1" x14ac:dyDescent="0.25">
      <c r="A121" s="51"/>
      <c r="B121" s="51"/>
      <c r="C121" s="51"/>
      <c r="D121" s="106"/>
      <c r="E121" s="106"/>
      <c r="F121" s="106"/>
      <c r="G121" s="51"/>
    </row>
    <row r="122" spans="1:7" ht="13.5" thickBot="1" x14ac:dyDescent="0.25">
      <c r="A122" s="362" t="s">
        <v>93</v>
      </c>
      <c r="B122" s="363"/>
      <c r="C122" s="363"/>
      <c r="D122" s="364"/>
      <c r="E122" s="365"/>
      <c r="F122" s="361">
        <f>F56+F90+F112+F119</f>
        <v>0</v>
      </c>
      <c r="G122" s="51"/>
    </row>
    <row r="124" spans="1:7" x14ac:dyDescent="0.2">
      <c r="A124" s="11" t="s">
        <v>45</v>
      </c>
      <c r="G124" s="9"/>
    </row>
    <row r="125" spans="1:7" ht="11.25" customHeight="1" x14ac:dyDescent="0.2">
      <c r="G125" s="9"/>
    </row>
    <row r="126" spans="1:7" ht="13.9" customHeight="1" x14ac:dyDescent="0.2">
      <c r="A126" s="9" t="s">
        <v>189</v>
      </c>
      <c r="G126" s="9"/>
    </row>
    <row r="127" spans="1:7" ht="11.25" customHeight="1" thickBot="1" x14ac:dyDescent="0.25">
      <c r="G127" s="9"/>
    </row>
    <row r="128" spans="1:7" ht="27.75" customHeight="1" thickBot="1" x14ac:dyDescent="0.25">
      <c r="A128" s="59" t="s">
        <v>63</v>
      </c>
      <c r="B128" s="60" t="s">
        <v>64</v>
      </c>
      <c r="C128" s="258" t="s">
        <v>251</v>
      </c>
      <c r="D128" s="61" t="s">
        <v>231</v>
      </c>
      <c r="E128" s="61" t="s">
        <v>65</v>
      </c>
      <c r="F128" s="62" t="s">
        <v>66</v>
      </c>
      <c r="G128" s="9"/>
    </row>
    <row r="129" spans="1:7" x14ac:dyDescent="0.2">
      <c r="A129" s="296" t="s">
        <v>67</v>
      </c>
      <c r="B129" s="14" t="s">
        <v>9</v>
      </c>
      <c r="C129" s="318">
        <v>12</v>
      </c>
      <c r="D129" s="314"/>
      <c r="E129" s="15">
        <f>IFERROR(D129/C129,0)</f>
        <v>0</v>
      </c>
      <c r="G129" s="9"/>
    </row>
    <row r="130" spans="1:7" ht="13.15" customHeight="1" x14ac:dyDescent="0.2">
      <c r="A130" s="16" t="s">
        <v>29</v>
      </c>
      <c r="B130" s="17" t="s">
        <v>9</v>
      </c>
      <c r="C130" s="318">
        <v>4</v>
      </c>
      <c r="D130" s="317"/>
      <c r="E130" s="15">
        <f t="shared" ref="E130:E138" si="1">IFERROR(D130/C130,0)</f>
        <v>0</v>
      </c>
      <c r="G130" s="9"/>
    </row>
    <row r="131" spans="1:7" x14ac:dyDescent="0.2">
      <c r="A131" s="16" t="s">
        <v>30</v>
      </c>
      <c r="B131" s="17" t="s">
        <v>9</v>
      </c>
      <c r="C131" s="318">
        <v>2</v>
      </c>
      <c r="D131" s="317"/>
      <c r="E131" s="15">
        <f t="shared" si="1"/>
        <v>0</v>
      </c>
      <c r="G131" s="9"/>
    </row>
    <row r="132" spans="1:7" ht="13.15" customHeight="1" x14ac:dyDescent="0.2">
      <c r="A132" s="16" t="s">
        <v>31</v>
      </c>
      <c r="B132" s="17" t="s">
        <v>9</v>
      </c>
      <c r="C132" s="318">
        <v>4</v>
      </c>
      <c r="D132" s="317"/>
      <c r="E132" s="15">
        <f t="shared" si="1"/>
        <v>0</v>
      </c>
      <c r="G132" s="9"/>
    </row>
    <row r="133" spans="1:7" ht="13.9" customHeight="1" x14ac:dyDescent="0.2">
      <c r="A133" s="16" t="s">
        <v>69</v>
      </c>
      <c r="B133" s="17" t="s">
        <v>48</v>
      </c>
      <c r="C133" s="318">
        <v>4</v>
      </c>
      <c r="D133" s="317"/>
      <c r="E133" s="15">
        <f t="shared" si="1"/>
        <v>0</v>
      </c>
      <c r="G133" s="9"/>
    </row>
    <row r="134" spans="1:7" ht="13.15" customHeight="1" x14ac:dyDescent="0.2">
      <c r="A134" s="16" t="s">
        <v>94</v>
      </c>
      <c r="B134" s="17" t="s">
        <v>48</v>
      </c>
      <c r="C134" s="318">
        <v>2</v>
      </c>
      <c r="D134" s="317"/>
      <c r="E134" s="15">
        <f t="shared" si="1"/>
        <v>0</v>
      </c>
    </row>
    <row r="135" spans="1:7" x14ac:dyDescent="0.2">
      <c r="A135" s="16" t="s">
        <v>68</v>
      </c>
      <c r="B135" s="17" t="s">
        <v>9</v>
      </c>
      <c r="C135" s="318">
        <v>3</v>
      </c>
      <c r="D135" s="317"/>
      <c r="E135" s="15">
        <f t="shared" si="1"/>
        <v>0</v>
      </c>
    </row>
    <row r="136" spans="1:7" s="1" customFormat="1" x14ac:dyDescent="0.2">
      <c r="A136" s="2" t="s">
        <v>10</v>
      </c>
      <c r="B136" s="3" t="s">
        <v>9</v>
      </c>
      <c r="C136" s="318">
        <v>4</v>
      </c>
      <c r="D136" s="317"/>
      <c r="E136" s="15">
        <f t="shared" si="1"/>
        <v>0</v>
      </c>
      <c r="F136" s="37"/>
      <c r="G136" s="37"/>
    </row>
    <row r="137" spans="1:7" x14ac:dyDescent="0.2">
      <c r="A137" s="16" t="s">
        <v>32</v>
      </c>
      <c r="B137" s="17" t="s">
        <v>48</v>
      </c>
      <c r="C137" s="318">
        <v>1</v>
      </c>
      <c r="D137" s="317"/>
      <c r="E137" s="15">
        <f t="shared" si="1"/>
        <v>0</v>
      </c>
    </row>
    <row r="138" spans="1:7" ht="13.15" customHeight="1" x14ac:dyDescent="0.2">
      <c r="A138" s="16" t="s">
        <v>62</v>
      </c>
      <c r="B138" s="17" t="s">
        <v>49</v>
      </c>
      <c r="C138" s="318">
        <v>2</v>
      </c>
      <c r="D138" s="317"/>
      <c r="E138" s="15">
        <f t="shared" si="1"/>
        <v>0</v>
      </c>
    </row>
    <row r="139" spans="1:7" x14ac:dyDescent="0.2">
      <c r="A139" s="16" t="s">
        <v>190</v>
      </c>
      <c r="B139" s="17" t="s">
        <v>116</v>
      </c>
      <c r="C139" s="319">
        <v>1</v>
      </c>
      <c r="D139" s="317"/>
      <c r="E139" s="18">
        <f t="shared" ref="E139:E140" si="2">C139*D139</f>
        <v>0</v>
      </c>
    </row>
    <row r="140" spans="1:7" ht="13.5" thickBot="1" x14ac:dyDescent="0.25">
      <c r="A140" s="16" t="s">
        <v>5</v>
      </c>
      <c r="B140" s="17" t="s">
        <v>6</v>
      </c>
      <c r="C140" s="68">
        <f>E31+E32</f>
        <v>3</v>
      </c>
      <c r="D140" s="18">
        <f>+SUM(E129:E139)</f>
        <v>0</v>
      </c>
      <c r="E140" s="18">
        <f t="shared" si="2"/>
        <v>0</v>
      </c>
    </row>
    <row r="141" spans="1:7" ht="13.5" thickBot="1" x14ac:dyDescent="0.25">
      <c r="D141" s="117" t="s">
        <v>187</v>
      </c>
      <c r="E141" s="316">
        <f>$B$41</f>
        <v>0.9</v>
      </c>
      <c r="F141" s="118">
        <f>E140*E141</f>
        <v>0</v>
      </c>
    </row>
    <row r="142" spans="1:7" ht="11.25" customHeight="1" x14ac:dyDescent="0.2"/>
    <row r="143" spans="1:7" ht="13.9" customHeight="1" x14ac:dyDescent="0.2">
      <c r="A143" s="9" t="s">
        <v>191</v>
      </c>
    </row>
    <row r="144" spans="1:7" ht="11.25" customHeight="1" thickBot="1" x14ac:dyDescent="0.25"/>
    <row r="145" spans="1:7" ht="24.75" thickBot="1" x14ac:dyDescent="0.25">
      <c r="A145" s="59" t="s">
        <v>63</v>
      </c>
      <c r="B145" s="60" t="s">
        <v>64</v>
      </c>
      <c r="C145" s="258" t="s">
        <v>251</v>
      </c>
      <c r="D145" s="61" t="s">
        <v>231</v>
      </c>
      <c r="E145" s="61" t="s">
        <v>65</v>
      </c>
      <c r="F145" s="62" t="s">
        <v>66</v>
      </c>
    </row>
    <row r="146" spans="1:7" x14ac:dyDescent="0.2">
      <c r="A146" s="13" t="s">
        <v>67</v>
      </c>
      <c r="B146" s="14" t="s">
        <v>9</v>
      </c>
      <c r="C146" s="321">
        <f>C129</f>
        <v>12</v>
      </c>
      <c r="D146" s="15">
        <f>+D129</f>
        <v>0</v>
      </c>
      <c r="E146" s="15">
        <f>IFERROR(D146/C146,0)</f>
        <v>0</v>
      </c>
    </row>
    <row r="147" spans="1:7" x14ac:dyDescent="0.2">
      <c r="A147" s="16" t="s">
        <v>29</v>
      </c>
      <c r="B147" s="17" t="s">
        <v>9</v>
      </c>
      <c r="C147" s="321">
        <f>C130</f>
        <v>4</v>
      </c>
      <c r="D147" s="18">
        <f>+D130</f>
        <v>0</v>
      </c>
      <c r="E147" s="15">
        <f t="shared" ref="E147:E151" si="3">IFERROR(D147/C147,0)</f>
        <v>0</v>
      </c>
    </row>
    <row r="148" spans="1:7" x14ac:dyDescent="0.2">
      <c r="A148" s="16" t="s">
        <v>30</v>
      </c>
      <c r="B148" s="17" t="s">
        <v>9</v>
      </c>
      <c r="C148" s="321">
        <f>C131</f>
        <v>2</v>
      </c>
      <c r="D148" s="18">
        <f>+D131</f>
        <v>0</v>
      </c>
      <c r="E148" s="15">
        <f t="shared" si="3"/>
        <v>0</v>
      </c>
    </row>
    <row r="149" spans="1:7" x14ac:dyDescent="0.2">
      <c r="A149" s="16" t="s">
        <v>69</v>
      </c>
      <c r="B149" s="17" t="s">
        <v>48</v>
      </c>
      <c r="C149" s="321">
        <f>C133</f>
        <v>4</v>
      </c>
      <c r="D149" s="18">
        <f>+D133</f>
        <v>0</v>
      </c>
      <c r="E149" s="15">
        <f t="shared" si="3"/>
        <v>0</v>
      </c>
    </row>
    <row r="150" spans="1:7" x14ac:dyDescent="0.2">
      <c r="A150" s="16" t="s">
        <v>68</v>
      </c>
      <c r="B150" s="17" t="s">
        <v>9</v>
      </c>
      <c r="C150" s="321">
        <v>2</v>
      </c>
      <c r="D150" s="18">
        <f>+D135</f>
        <v>0</v>
      </c>
      <c r="E150" s="15">
        <f t="shared" si="3"/>
        <v>0</v>
      </c>
      <c r="G150" s="9"/>
    </row>
    <row r="151" spans="1:7" x14ac:dyDescent="0.2">
      <c r="A151" s="16" t="s">
        <v>62</v>
      </c>
      <c r="B151" s="17" t="s">
        <v>49</v>
      </c>
      <c r="C151" s="321">
        <v>3</v>
      </c>
      <c r="D151" s="18"/>
      <c r="E151" s="15">
        <f t="shared" si="3"/>
        <v>0</v>
      </c>
      <c r="G151" s="9"/>
    </row>
    <row r="152" spans="1:7" x14ac:dyDescent="0.2">
      <c r="A152" s="16" t="s">
        <v>190</v>
      </c>
      <c r="B152" s="17" t="s">
        <v>116</v>
      </c>
      <c r="C152" s="115">
        <v>1</v>
      </c>
      <c r="D152" s="86">
        <f>D139</f>
        <v>0</v>
      </c>
      <c r="E152" s="18">
        <f t="shared" ref="E152:E153" si="4">C152*D152</f>
        <v>0</v>
      </c>
      <c r="G152" s="9"/>
    </row>
    <row r="153" spans="1:7" ht="13.5" thickBot="1" x14ac:dyDescent="0.25">
      <c r="A153" s="16" t="s">
        <v>5</v>
      </c>
      <c r="B153" s="17" t="s">
        <v>6</v>
      </c>
      <c r="C153" s="68">
        <f>E33+E34</f>
        <v>1</v>
      </c>
      <c r="D153" s="18">
        <f>+SUM(E146:E152)</f>
        <v>0</v>
      </c>
      <c r="E153" s="18">
        <f t="shared" si="4"/>
        <v>0</v>
      </c>
      <c r="G153" s="9"/>
    </row>
    <row r="154" spans="1:7" ht="13.5" thickBot="1" x14ac:dyDescent="0.25">
      <c r="D154" s="117" t="s">
        <v>187</v>
      </c>
      <c r="E154" s="316">
        <v>1</v>
      </c>
      <c r="F154" s="118">
        <f>E153*E154</f>
        <v>0</v>
      </c>
      <c r="G154" s="9"/>
    </row>
    <row r="155" spans="1:7" ht="11.25" customHeight="1" thickBot="1" x14ac:dyDescent="0.25">
      <c r="G155" s="9"/>
    </row>
    <row r="156" spans="1:7" ht="13.5" thickBot="1" x14ac:dyDescent="0.25">
      <c r="A156" s="24" t="s">
        <v>192</v>
      </c>
      <c r="B156" s="28"/>
      <c r="C156" s="28"/>
      <c r="D156" s="29"/>
      <c r="E156" s="30"/>
      <c r="F156" s="21">
        <f>+F141+F154</f>
        <v>0</v>
      </c>
      <c r="G156" s="9"/>
    </row>
    <row r="157" spans="1:7" ht="11.25" customHeight="1" x14ac:dyDescent="0.2">
      <c r="G157" s="9"/>
    </row>
    <row r="158" spans="1:7" x14ac:dyDescent="0.2">
      <c r="A158" s="11" t="s">
        <v>54</v>
      </c>
      <c r="G158" s="9"/>
    </row>
    <row r="159" spans="1:7" ht="11.25" customHeight="1" x14ac:dyDescent="0.2">
      <c r="B159" s="101"/>
      <c r="G159" s="9"/>
    </row>
    <row r="160" spans="1:7" x14ac:dyDescent="0.2">
      <c r="A160" s="7" t="s">
        <v>309</v>
      </c>
      <c r="G160" s="9"/>
    </row>
    <row r="161" spans="1:10" ht="11.25" customHeight="1" x14ac:dyDescent="0.2">
      <c r="G161" s="9"/>
    </row>
    <row r="162" spans="1:10" ht="13.5" thickBot="1" x14ac:dyDescent="0.25">
      <c r="A162" s="101" t="s">
        <v>46</v>
      </c>
      <c r="G162" s="9"/>
    </row>
    <row r="163" spans="1:10" ht="13.5" thickBot="1" x14ac:dyDescent="0.25">
      <c r="A163" s="59" t="s">
        <v>63</v>
      </c>
      <c r="B163" s="60" t="s">
        <v>64</v>
      </c>
      <c r="C163" s="60" t="s">
        <v>41</v>
      </c>
      <c r="D163" s="61" t="s">
        <v>231</v>
      </c>
      <c r="E163" s="61" t="s">
        <v>65</v>
      </c>
      <c r="F163" s="62" t="s">
        <v>66</v>
      </c>
      <c r="G163" s="9"/>
    </row>
    <row r="164" spans="1:10" x14ac:dyDescent="0.2">
      <c r="A164" s="13" t="s">
        <v>104</v>
      </c>
      <c r="B164" s="14" t="s">
        <v>9</v>
      </c>
      <c r="C164" s="264">
        <v>1</v>
      </c>
      <c r="D164" s="86"/>
      <c r="E164" s="15">
        <f>C164*D164</f>
        <v>0</v>
      </c>
      <c r="G164" s="9"/>
    </row>
    <row r="165" spans="1:10" x14ac:dyDescent="0.2">
      <c r="A165" s="16" t="s">
        <v>101</v>
      </c>
      <c r="B165" s="17" t="s">
        <v>102</v>
      </c>
      <c r="C165" s="85"/>
      <c r="D165" s="82"/>
      <c r="E165" s="18"/>
      <c r="G165" s="9"/>
    </row>
    <row r="166" spans="1:10" x14ac:dyDescent="0.2">
      <c r="A166" s="16" t="s">
        <v>204</v>
      </c>
      <c r="B166" s="17" t="s">
        <v>102</v>
      </c>
      <c r="C166" s="85">
        <v>0</v>
      </c>
      <c r="D166" s="18"/>
      <c r="E166" s="18"/>
      <c r="F166" s="20"/>
      <c r="I166" s="84"/>
      <c r="J166" s="84"/>
    </row>
    <row r="167" spans="1:10" x14ac:dyDescent="0.2">
      <c r="A167" s="16" t="s">
        <v>103</v>
      </c>
      <c r="B167" s="17" t="s">
        <v>2</v>
      </c>
      <c r="C167" s="132">
        <f>IFERROR(VLOOKUP(C165,'6. Depreciação'!A3:B17,2,FALSE),0)</f>
        <v>0</v>
      </c>
      <c r="D167" s="18">
        <f>E164</f>
        <v>0</v>
      </c>
      <c r="E167" s="18">
        <f>C167*D167/100</f>
        <v>0</v>
      </c>
    </row>
    <row r="168" spans="1:10" ht="13.5" thickBot="1" x14ac:dyDescent="0.25">
      <c r="A168" s="267" t="s">
        <v>50</v>
      </c>
      <c r="B168" s="268" t="s">
        <v>8</v>
      </c>
      <c r="C168" s="268">
        <f>C165*12</f>
        <v>0</v>
      </c>
      <c r="D168" s="269">
        <f>IF(C166&lt;=C165,E167,0)</f>
        <v>0</v>
      </c>
      <c r="E168" s="269">
        <f>IFERROR(D168/C168,0)</f>
        <v>0</v>
      </c>
    </row>
    <row r="169" spans="1:10" ht="13.5" thickTop="1" x14ac:dyDescent="0.2">
      <c r="A169" s="296" t="s">
        <v>310</v>
      </c>
      <c r="B169" s="14" t="s">
        <v>9</v>
      </c>
      <c r="C169" s="14">
        <f>C164</f>
        <v>1</v>
      </c>
      <c r="D169" s="86"/>
      <c r="E169" s="15">
        <f>C169*D169</f>
        <v>0</v>
      </c>
      <c r="G169" s="9"/>
    </row>
    <row r="170" spans="1:10" x14ac:dyDescent="0.2">
      <c r="A170" s="320" t="s">
        <v>101</v>
      </c>
      <c r="B170" s="17" t="s">
        <v>102</v>
      </c>
      <c r="C170" s="85"/>
      <c r="D170" s="18"/>
      <c r="E170" s="18"/>
    </row>
    <row r="171" spans="1:10" x14ac:dyDescent="0.2">
      <c r="A171" s="320" t="s">
        <v>311</v>
      </c>
      <c r="B171" s="17" t="s">
        <v>102</v>
      </c>
      <c r="C171" s="85">
        <v>0</v>
      </c>
      <c r="D171" s="18"/>
      <c r="E171" s="18"/>
      <c r="F171" s="20"/>
      <c r="I171" s="84"/>
      <c r="J171" s="84"/>
    </row>
    <row r="172" spans="1:10" x14ac:dyDescent="0.2">
      <c r="A172" s="320" t="s">
        <v>103</v>
      </c>
      <c r="B172" s="17" t="s">
        <v>2</v>
      </c>
      <c r="C172" s="133">
        <f>IFERROR(VLOOKUP(C170,'6. Depreciação'!A3:B17,2,FALSE),0)</f>
        <v>0</v>
      </c>
      <c r="D172" s="18"/>
      <c r="E172" s="18">
        <f>C172*D172/100</f>
        <v>0</v>
      </c>
    </row>
    <row r="173" spans="1:10" x14ac:dyDescent="0.2">
      <c r="A173" s="97" t="s">
        <v>312</v>
      </c>
      <c r="B173" s="98" t="s">
        <v>8</v>
      </c>
      <c r="C173" s="98">
        <f>C170*12</f>
        <v>0</v>
      </c>
      <c r="D173" s="99">
        <f>IF(C171&lt;=C170,E172,0)</f>
        <v>0</v>
      </c>
      <c r="E173" s="99">
        <f>IFERROR(D173/C173,0)</f>
        <v>0</v>
      </c>
    </row>
    <row r="174" spans="1:10" x14ac:dyDescent="0.2">
      <c r="A174" s="110" t="s">
        <v>254</v>
      </c>
      <c r="B174" s="111"/>
      <c r="C174" s="111"/>
      <c r="D174" s="112"/>
      <c r="E174" s="113">
        <f>E168+E173</f>
        <v>0</v>
      </c>
    </row>
    <row r="175" spans="1:10" ht="13.5" thickBot="1" x14ac:dyDescent="0.25">
      <c r="A175" s="97" t="s">
        <v>255</v>
      </c>
      <c r="B175" s="98" t="s">
        <v>9</v>
      </c>
      <c r="C175" s="85">
        <v>1</v>
      </c>
      <c r="D175" s="99">
        <f>E174</f>
        <v>0</v>
      </c>
      <c r="E175" s="113">
        <f>C175*D175</f>
        <v>0</v>
      </c>
    </row>
    <row r="176" spans="1:10" ht="13.5" thickBot="1" x14ac:dyDescent="0.25">
      <c r="A176" s="263"/>
      <c r="B176" s="263"/>
      <c r="C176" s="263"/>
      <c r="D176" s="117" t="s">
        <v>187</v>
      </c>
      <c r="E176" s="316">
        <v>1</v>
      </c>
      <c r="F176" s="21">
        <f>E175*E176</f>
        <v>0</v>
      </c>
    </row>
    <row r="177" spans="1:10" ht="11.25" customHeight="1" x14ac:dyDescent="0.2"/>
    <row r="178" spans="1:10" ht="13.5" thickBot="1" x14ac:dyDescent="0.25">
      <c r="A178" s="101" t="s">
        <v>108</v>
      </c>
    </row>
    <row r="179" spans="1:10" ht="13.5" thickBot="1" x14ac:dyDescent="0.25">
      <c r="A179" s="103" t="s">
        <v>63</v>
      </c>
      <c r="B179" s="104" t="s">
        <v>64</v>
      </c>
      <c r="C179" s="104" t="s">
        <v>41</v>
      </c>
      <c r="D179" s="61" t="s">
        <v>231</v>
      </c>
      <c r="E179" s="105" t="s">
        <v>65</v>
      </c>
      <c r="F179" s="62" t="s">
        <v>66</v>
      </c>
      <c r="I179" s="84"/>
      <c r="J179" s="84"/>
    </row>
    <row r="180" spans="1:10" x14ac:dyDescent="0.2">
      <c r="A180" s="16" t="s">
        <v>107</v>
      </c>
      <c r="B180" s="17" t="s">
        <v>9</v>
      </c>
      <c r="C180" s="264">
        <v>1</v>
      </c>
      <c r="D180" s="18">
        <f>D164</f>
        <v>0</v>
      </c>
      <c r="E180" s="18">
        <f>C180*D180</f>
        <v>0</v>
      </c>
      <c r="F180" s="20"/>
      <c r="I180" s="84"/>
      <c r="J180" s="84"/>
    </row>
    <row r="181" spans="1:10" x14ac:dyDescent="0.2">
      <c r="A181" s="16" t="s">
        <v>207</v>
      </c>
      <c r="B181" s="17" t="s">
        <v>2</v>
      </c>
      <c r="C181" s="85">
        <v>4.1500000000000004</v>
      </c>
      <c r="D181" s="18"/>
      <c r="E181" s="18"/>
      <c r="F181" s="20"/>
      <c r="I181" s="84"/>
      <c r="J181" s="84"/>
    </row>
    <row r="182" spans="1:10" x14ac:dyDescent="0.2">
      <c r="A182" s="16" t="s">
        <v>205</v>
      </c>
      <c r="B182" s="17" t="s">
        <v>34</v>
      </c>
      <c r="C182" s="140">
        <f>IFERROR(IF(C166&lt;=C165,E164-(C167/(100*C165)*C166)*E164,E164-E167),0)</f>
        <v>0</v>
      </c>
      <c r="D182" s="18"/>
      <c r="E182" s="18"/>
      <c r="F182" s="20"/>
      <c r="I182" s="84"/>
      <c r="J182" s="84"/>
    </row>
    <row r="183" spans="1:10" x14ac:dyDescent="0.2">
      <c r="A183" s="16" t="s">
        <v>110</v>
      </c>
      <c r="B183" s="17" t="s">
        <v>34</v>
      </c>
      <c r="C183" s="82"/>
      <c r="D183" s="18"/>
      <c r="E183" s="18"/>
      <c r="F183" s="20"/>
      <c r="I183" s="84"/>
      <c r="J183" s="84"/>
    </row>
    <row r="184" spans="1:10" ht="13.5" thickBot="1" x14ac:dyDescent="0.25">
      <c r="A184" s="267" t="s">
        <v>111</v>
      </c>
      <c r="B184" s="268" t="s">
        <v>34</v>
      </c>
      <c r="C184" s="268"/>
      <c r="D184" s="270">
        <f>C181*C183/12/100</f>
        <v>0</v>
      </c>
      <c r="E184" s="269">
        <f>D184</f>
        <v>0</v>
      </c>
      <c r="F184" s="20"/>
      <c r="I184" s="84"/>
      <c r="J184" s="84"/>
    </row>
    <row r="185" spans="1:10" ht="13.5" thickTop="1" x14ac:dyDescent="0.2">
      <c r="A185" s="296" t="s">
        <v>327</v>
      </c>
      <c r="B185" s="14" t="s">
        <v>9</v>
      </c>
      <c r="C185" s="14">
        <f>C169</f>
        <v>1</v>
      </c>
      <c r="D185" s="15">
        <f>D169</f>
        <v>0</v>
      </c>
      <c r="E185" s="15">
        <f>C185*D185</f>
        <v>0</v>
      </c>
      <c r="F185" s="20"/>
      <c r="I185" s="84"/>
      <c r="J185" s="84"/>
    </row>
    <row r="186" spans="1:10" x14ac:dyDescent="0.2">
      <c r="A186" s="320" t="s">
        <v>207</v>
      </c>
      <c r="B186" s="17" t="s">
        <v>2</v>
      </c>
      <c r="C186" s="265">
        <f>C181</f>
        <v>4.1500000000000004</v>
      </c>
      <c r="D186" s="18"/>
      <c r="E186" s="18"/>
      <c r="F186" s="20"/>
      <c r="I186" s="84"/>
      <c r="J186" s="84"/>
    </row>
    <row r="187" spans="1:10" x14ac:dyDescent="0.2">
      <c r="A187" s="16" t="s">
        <v>206</v>
      </c>
      <c r="B187" s="17" t="s">
        <v>34</v>
      </c>
      <c r="C187" s="140">
        <f>IFERROR(IF(C171&lt;=C170,E169-(C172/(100*C170)*C171)*E169,E169-E172),0)</f>
        <v>0</v>
      </c>
      <c r="D187" s="18"/>
      <c r="E187" s="18"/>
      <c r="F187" s="20"/>
      <c r="I187" s="84"/>
      <c r="J187" s="84"/>
    </row>
    <row r="188" spans="1:10" x14ac:dyDescent="0.2">
      <c r="A188" s="320" t="s">
        <v>303</v>
      </c>
      <c r="B188" s="17" t="s">
        <v>34</v>
      </c>
      <c r="C188" s="82"/>
      <c r="D188" s="18"/>
      <c r="E188" s="18"/>
      <c r="F188" s="20"/>
      <c r="I188" s="84"/>
      <c r="J188" s="84"/>
    </row>
    <row r="189" spans="1:10" x14ac:dyDescent="0.2">
      <c r="A189" s="97" t="s">
        <v>304</v>
      </c>
      <c r="B189" s="98" t="s">
        <v>34</v>
      </c>
      <c r="C189" s="98"/>
      <c r="D189" s="107">
        <f>C186*C188/12/100</f>
        <v>0</v>
      </c>
      <c r="E189" s="99">
        <f>D189</f>
        <v>0</v>
      </c>
      <c r="F189" s="20"/>
      <c r="I189" s="84"/>
      <c r="J189" s="84"/>
    </row>
    <row r="190" spans="1:10" x14ac:dyDescent="0.2">
      <c r="A190" s="110" t="s">
        <v>254</v>
      </c>
      <c r="B190" s="111"/>
      <c r="C190" s="111"/>
      <c r="D190" s="112"/>
      <c r="E190" s="113">
        <f>E184+E189</f>
        <v>0</v>
      </c>
      <c r="F190" s="20"/>
      <c r="I190" s="84"/>
      <c r="J190" s="84"/>
    </row>
    <row r="191" spans="1:10" ht="13.5" thickBot="1" x14ac:dyDescent="0.25">
      <c r="A191" s="97" t="s">
        <v>255</v>
      </c>
      <c r="B191" s="98" t="s">
        <v>9</v>
      </c>
      <c r="C191" s="265">
        <f>C175</f>
        <v>1</v>
      </c>
      <c r="D191" s="99">
        <f>E190</f>
        <v>0</v>
      </c>
      <c r="E191" s="113">
        <f>C191*D191</f>
        <v>0</v>
      </c>
      <c r="F191" s="20"/>
      <c r="I191" s="84"/>
      <c r="J191" s="84"/>
    </row>
    <row r="192" spans="1:10" ht="13.5" thickBot="1" x14ac:dyDescent="0.25">
      <c r="C192" s="19"/>
      <c r="D192" s="117" t="s">
        <v>187</v>
      </c>
      <c r="E192" s="316">
        <f>E176</f>
        <v>1</v>
      </c>
      <c r="F192" s="21">
        <f>E191*E192</f>
        <v>0</v>
      </c>
      <c r="I192" s="84"/>
      <c r="J192" s="84"/>
    </row>
    <row r="193" spans="1:10" ht="11.25" customHeight="1" x14ac:dyDescent="0.2">
      <c r="I193" s="84"/>
      <c r="J193" s="84"/>
    </row>
    <row r="194" spans="1:10" ht="13.5" thickBot="1" x14ac:dyDescent="0.25">
      <c r="A194" s="9" t="s">
        <v>51</v>
      </c>
      <c r="I194" s="84"/>
      <c r="J194" s="84"/>
    </row>
    <row r="195" spans="1:10" ht="13.5" thickBot="1" x14ac:dyDescent="0.25">
      <c r="A195" s="59" t="s">
        <v>63</v>
      </c>
      <c r="B195" s="60" t="s">
        <v>64</v>
      </c>
      <c r="C195" s="60" t="s">
        <v>41</v>
      </c>
      <c r="D195" s="61" t="s">
        <v>231</v>
      </c>
      <c r="E195" s="61" t="s">
        <v>65</v>
      </c>
      <c r="F195" s="62" t="s">
        <v>66</v>
      </c>
      <c r="I195" s="84"/>
      <c r="J195" s="84"/>
    </row>
    <row r="196" spans="1:10" x14ac:dyDescent="0.2">
      <c r="A196" s="13" t="s">
        <v>11</v>
      </c>
      <c r="B196" s="14" t="s">
        <v>9</v>
      </c>
      <c r="C196" s="15">
        <f>C175</f>
        <v>1</v>
      </c>
      <c r="D196" s="15">
        <f>0.01*($C$182)</f>
        <v>0</v>
      </c>
      <c r="E196" s="15">
        <f>C196*D196</f>
        <v>0</v>
      </c>
      <c r="I196" s="84"/>
      <c r="J196" s="84"/>
    </row>
    <row r="197" spans="1:10" x14ac:dyDescent="0.2">
      <c r="A197" s="16" t="s">
        <v>186</v>
      </c>
      <c r="B197" s="17" t="s">
        <v>9</v>
      </c>
      <c r="C197" s="15">
        <f>C175</f>
        <v>1</v>
      </c>
      <c r="D197" s="88"/>
      <c r="E197" s="18">
        <f>C197*D197</f>
        <v>0</v>
      </c>
      <c r="I197" s="84"/>
      <c r="J197" s="84"/>
    </row>
    <row r="198" spans="1:10" x14ac:dyDescent="0.2">
      <c r="A198" s="16" t="s">
        <v>12</v>
      </c>
      <c r="B198" s="17" t="s">
        <v>9</v>
      </c>
      <c r="C198" s="15">
        <f>C175</f>
        <v>1</v>
      </c>
      <c r="D198" s="88"/>
      <c r="E198" s="18">
        <f>C198*D198</f>
        <v>0</v>
      </c>
      <c r="F198" s="31"/>
      <c r="I198" s="84"/>
      <c r="J198" s="84"/>
    </row>
    <row r="199" spans="1:10" ht="13.5" thickBot="1" x14ac:dyDescent="0.25">
      <c r="A199" s="97" t="s">
        <v>13</v>
      </c>
      <c r="B199" s="98" t="s">
        <v>8</v>
      </c>
      <c r="C199" s="98">
        <v>12</v>
      </c>
      <c r="D199" s="99">
        <f>SUM(E196:E198)</f>
        <v>0</v>
      </c>
      <c r="E199" s="99">
        <f>D199/C199</f>
        <v>0</v>
      </c>
      <c r="I199" s="84"/>
      <c r="J199" s="84"/>
    </row>
    <row r="200" spans="1:10" ht="13.5" thickBot="1" x14ac:dyDescent="0.25">
      <c r="D200" s="117" t="s">
        <v>187</v>
      </c>
      <c r="E200" s="316">
        <f>E192</f>
        <v>1</v>
      </c>
      <c r="F200" s="118">
        <f>E199*E200</f>
        <v>0</v>
      </c>
      <c r="I200" s="84"/>
      <c r="J200" s="84"/>
    </row>
    <row r="201" spans="1:10" ht="11.25" customHeight="1" x14ac:dyDescent="0.2">
      <c r="I201" s="84"/>
      <c r="J201" s="84"/>
    </row>
    <row r="202" spans="1:10" x14ac:dyDescent="0.2">
      <c r="A202" s="9" t="s">
        <v>52</v>
      </c>
      <c r="B202" s="32"/>
      <c r="I202" s="84"/>
      <c r="J202" s="84"/>
    </row>
    <row r="203" spans="1:10" x14ac:dyDescent="0.2">
      <c r="B203" s="32"/>
      <c r="I203" s="84"/>
      <c r="J203" s="84"/>
    </row>
    <row r="204" spans="1:10" x14ac:dyDescent="0.2">
      <c r="A204" s="97" t="s">
        <v>113</v>
      </c>
      <c r="B204" s="328"/>
      <c r="G204" s="366"/>
      <c r="I204" s="369"/>
      <c r="J204" s="84"/>
    </row>
    <row r="205" spans="1:10" ht="13.5" thickBot="1" x14ac:dyDescent="0.25">
      <c r="B205" s="32"/>
      <c r="I205" s="369"/>
      <c r="J205" s="84"/>
    </row>
    <row r="206" spans="1:10" ht="13.5" thickBot="1" x14ac:dyDescent="0.25">
      <c r="A206" s="59" t="s">
        <v>63</v>
      </c>
      <c r="B206" s="60" t="s">
        <v>64</v>
      </c>
      <c r="C206" s="60" t="s">
        <v>253</v>
      </c>
      <c r="D206" s="61" t="s">
        <v>231</v>
      </c>
      <c r="E206" s="61" t="s">
        <v>65</v>
      </c>
      <c r="F206" s="62" t="s">
        <v>66</v>
      </c>
      <c r="I206" s="84"/>
      <c r="J206" s="84"/>
    </row>
    <row r="207" spans="1:10" x14ac:dyDescent="0.2">
      <c r="A207" s="13" t="s">
        <v>14</v>
      </c>
      <c r="B207" s="14" t="s">
        <v>15</v>
      </c>
      <c r="C207" s="91">
        <v>2.5</v>
      </c>
      <c r="D207" s="92"/>
      <c r="E207" s="15"/>
      <c r="I207" s="84"/>
      <c r="J207" s="84"/>
    </row>
    <row r="208" spans="1:10" x14ac:dyDescent="0.2">
      <c r="A208" s="16" t="s">
        <v>16</v>
      </c>
      <c r="B208" s="17" t="s">
        <v>17</v>
      </c>
      <c r="C208" s="89">
        <f>B204</f>
        <v>0</v>
      </c>
      <c r="D208" s="262">
        <f>IFERROR(+D207/C207,"-")</f>
        <v>0</v>
      </c>
      <c r="E208" s="18">
        <f>IFERROR(C208*D208,"-")</f>
        <v>0</v>
      </c>
      <c r="I208" s="84"/>
      <c r="J208" s="84"/>
    </row>
    <row r="209" spans="1:10" x14ac:dyDescent="0.2">
      <c r="A209" s="16" t="s">
        <v>232</v>
      </c>
      <c r="B209" s="17" t="s">
        <v>18</v>
      </c>
      <c r="C209" s="94">
        <v>1.33</v>
      </c>
      <c r="D209" s="88"/>
      <c r="E209" s="18"/>
      <c r="G209" s="106"/>
      <c r="H209" s="51"/>
      <c r="I209" s="84"/>
      <c r="J209" s="84"/>
    </row>
    <row r="210" spans="1:10" x14ac:dyDescent="0.2">
      <c r="A210" s="16" t="s">
        <v>19</v>
      </c>
      <c r="B210" s="17" t="s">
        <v>17</v>
      </c>
      <c r="C210" s="89">
        <f>C208</f>
        <v>0</v>
      </c>
      <c r="D210" s="259">
        <f>+C209*D209/1000</f>
        <v>0</v>
      </c>
      <c r="E210" s="18">
        <f>C210*D210</f>
        <v>0</v>
      </c>
      <c r="G210" s="106"/>
      <c r="H210" s="51"/>
      <c r="I210" s="84"/>
      <c r="J210" s="84"/>
    </row>
    <row r="211" spans="1:10" x14ac:dyDescent="0.2">
      <c r="A211" s="16" t="s">
        <v>233</v>
      </c>
      <c r="B211" s="17" t="s">
        <v>18</v>
      </c>
      <c r="C211" s="94">
        <v>0.18</v>
      </c>
      <c r="D211" s="88"/>
      <c r="E211" s="18"/>
      <c r="G211" s="106"/>
      <c r="H211" s="51"/>
      <c r="I211" s="84"/>
      <c r="J211" s="84"/>
    </row>
    <row r="212" spans="1:10" x14ac:dyDescent="0.2">
      <c r="A212" s="16" t="s">
        <v>20</v>
      </c>
      <c r="B212" s="17" t="s">
        <v>17</v>
      </c>
      <c r="C212" s="89">
        <f>C208</f>
        <v>0</v>
      </c>
      <c r="D212" s="259">
        <f>+C211*D211/1000</f>
        <v>0</v>
      </c>
      <c r="E212" s="18">
        <f>C212*D212</f>
        <v>0</v>
      </c>
      <c r="G212" s="106"/>
      <c r="H212" s="51"/>
      <c r="I212" s="84"/>
      <c r="J212" s="84"/>
    </row>
    <row r="213" spans="1:10" x14ac:dyDescent="0.2">
      <c r="A213" s="16" t="s">
        <v>234</v>
      </c>
      <c r="B213" s="17" t="s">
        <v>18</v>
      </c>
      <c r="C213" s="94">
        <v>0.5</v>
      </c>
      <c r="D213" s="88"/>
      <c r="E213" s="18"/>
      <c r="G213" s="106"/>
      <c r="H213" s="51"/>
      <c r="I213" s="84"/>
      <c r="J213" s="84"/>
    </row>
    <row r="214" spans="1:10" x14ac:dyDescent="0.2">
      <c r="A214" s="16" t="s">
        <v>21</v>
      </c>
      <c r="B214" s="17" t="s">
        <v>17</v>
      </c>
      <c r="C214" s="89">
        <f>C208</f>
        <v>0</v>
      </c>
      <c r="D214" s="259">
        <f>+C213*D213/1000</f>
        <v>0</v>
      </c>
      <c r="E214" s="18">
        <f>C214*D214</f>
        <v>0</v>
      </c>
      <c r="G214" s="106"/>
      <c r="H214" s="51"/>
      <c r="I214" s="84"/>
      <c r="J214" s="84"/>
    </row>
    <row r="215" spans="1:10" x14ac:dyDescent="0.2">
      <c r="A215" s="320" t="s">
        <v>321</v>
      </c>
      <c r="B215" s="17" t="s">
        <v>18</v>
      </c>
      <c r="C215" s="94">
        <v>0.05</v>
      </c>
      <c r="D215" s="88"/>
      <c r="E215" s="18"/>
      <c r="G215" s="106"/>
      <c r="H215" s="51"/>
      <c r="I215" s="84"/>
      <c r="J215" s="84"/>
    </row>
    <row r="216" spans="1:10" x14ac:dyDescent="0.2">
      <c r="A216" s="320" t="s">
        <v>322</v>
      </c>
      <c r="B216" s="17" t="s">
        <v>17</v>
      </c>
      <c r="C216" s="89">
        <f>C210</f>
        <v>0</v>
      </c>
      <c r="D216" s="259">
        <f>+C215*D215/1000</f>
        <v>0</v>
      </c>
      <c r="E216" s="18">
        <f>C216*D216</f>
        <v>0</v>
      </c>
      <c r="G216" s="106"/>
      <c r="H216" s="51"/>
      <c r="I216" s="84"/>
      <c r="J216" s="84"/>
    </row>
    <row r="217" spans="1:10" x14ac:dyDescent="0.2">
      <c r="A217" s="16" t="s">
        <v>22</v>
      </c>
      <c r="B217" s="17" t="s">
        <v>23</v>
      </c>
      <c r="C217" s="94">
        <v>0.5</v>
      </c>
      <c r="D217" s="88"/>
      <c r="E217" s="18"/>
      <c r="G217" s="106"/>
      <c r="H217" s="51"/>
      <c r="I217" s="84"/>
      <c r="J217" s="84"/>
    </row>
    <row r="218" spans="1:10" x14ac:dyDescent="0.2">
      <c r="A218" s="16" t="s">
        <v>24</v>
      </c>
      <c r="B218" s="17" t="s">
        <v>17</v>
      </c>
      <c r="C218" s="89">
        <f>C208</f>
        <v>0</v>
      </c>
      <c r="D218" s="259">
        <f>+C217*D217/1000</f>
        <v>0</v>
      </c>
      <c r="E218" s="18">
        <f>C218*D218</f>
        <v>0</v>
      </c>
      <c r="G218" s="106"/>
      <c r="H218" s="51"/>
      <c r="I218" s="84"/>
      <c r="J218" s="84"/>
    </row>
    <row r="219" spans="1:10" ht="13.5" thickBot="1" x14ac:dyDescent="0.25">
      <c r="A219" s="97" t="s">
        <v>252</v>
      </c>
      <c r="B219" s="98" t="s">
        <v>114</v>
      </c>
      <c r="C219" s="260"/>
      <c r="D219" s="261">
        <f>IFERROR(D208+D210+D212+D214+D218,0)</f>
        <v>0</v>
      </c>
      <c r="E219" s="18"/>
      <c r="G219" s="106"/>
      <c r="H219" s="51"/>
      <c r="I219" s="84"/>
      <c r="J219" s="84"/>
    </row>
    <row r="220" spans="1:10" ht="13.5" thickBot="1" x14ac:dyDescent="0.25">
      <c r="F220" s="21">
        <f>SUM(E207:E218)</f>
        <v>0</v>
      </c>
      <c r="I220" s="84"/>
      <c r="J220" s="84"/>
    </row>
    <row r="221" spans="1:10" ht="11.25" customHeight="1" x14ac:dyDescent="0.2">
      <c r="I221" s="84"/>
      <c r="J221" s="84"/>
    </row>
    <row r="222" spans="1:10" ht="13.5" thickBot="1" x14ac:dyDescent="0.25">
      <c r="A222" s="9" t="s">
        <v>53</v>
      </c>
      <c r="I222" s="84"/>
      <c r="J222" s="84"/>
    </row>
    <row r="223" spans="1:10" ht="13.5" thickBot="1" x14ac:dyDescent="0.25">
      <c r="A223" s="59" t="s">
        <v>63</v>
      </c>
      <c r="B223" s="60" t="s">
        <v>64</v>
      </c>
      <c r="C223" s="60" t="s">
        <v>41</v>
      </c>
      <c r="D223" s="61" t="s">
        <v>231</v>
      </c>
      <c r="E223" s="61" t="s">
        <v>65</v>
      </c>
      <c r="F223" s="62" t="s">
        <v>66</v>
      </c>
      <c r="I223" s="84"/>
      <c r="J223" s="84"/>
    </row>
    <row r="224" spans="1:10" ht="13.5" thickBot="1" x14ac:dyDescent="0.25">
      <c r="A224" s="13" t="s">
        <v>112</v>
      </c>
      <c r="B224" s="14" t="s">
        <v>114</v>
      </c>
      <c r="C224" s="89">
        <f>C208</f>
        <v>0</v>
      </c>
      <c r="D224" s="86"/>
      <c r="E224" s="15">
        <f>C224*D224</f>
        <v>0</v>
      </c>
      <c r="I224" s="84"/>
      <c r="J224" s="84"/>
    </row>
    <row r="225" spans="1:10" ht="13.5" thickBot="1" x14ac:dyDescent="0.25">
      <c r="F225" s="21">
        <f>E224</f>
        <v>0</v>
      </c>
      <c r="I225" s="84"/>
      <c r="J225" s="84"/>
    </row>
    <row r="226" spans="1:10" ht="11.25" customHeight="1" x14ac:dyDescent="0.2">
      <c r="I226" s="84"/>
      <c r="J226" s="84"/>
    </row>
    <row r="227" spans="1:10" ht="13.5" thickBot="1" x14ac:dyDescent="0.25">
      <c r="A227" s="9" t="s">
        <v>61</v>
      </c>
      <c r="I227" s="84"/>
      <c r="J227" s="84"/>
    </row>
    <row r="228" spans="1:10" ht="13.5" thickBot="1" x14ac:dyDescent="0.25">
      <c r="A228" s="59" t="s">
        <v>63</v>
      </c>
      <c r="B228" s="60" t="s">
        <v>64</v>
      </c>
      <c r="C228" s="60" t="s">
        <v>41</v>
      </c>
      <c r="D228" s="61" t="s">
        <v>231</v>
      </c>
      <c r="E228" s="61" t="s">
        <v>65</v>
      </c>
      <c r="F228" s="62" t="s">
        <v>66</v>
      </c>
      <c r="I228" s="84"/>
      <c r="J228" s="84"/>
    </row>
    <row r="229" spans="1:10" x14ac:dyDescent="0.2">
      <c r="A229" s="296" t="s">
        <v>307</v>
      </c>
      <c r="B229" s="14" t="s">
        <v>9</v>
      </c>
      <c r="C229" s="90">
        <v>6</v>
      </c>
      <c r="D229" s="86"/>
      <c r="E229" s="15">
        <f>C229*D229</f>
        <v>0</v>
      </c>
      <c r="I229" s="84"/>
      <c r="J229" s="84"/>
    </row>
    <row r="230" spans="1:10" x14ac:dyDescent="0.2">
      <c r="A230" s="13" t="s">
        <v>115</v>
      </c>
      <c r="B230" s="14" t="s">
        <v>9</v>
      </c>
      <c r="C230" s="90">
        <v>1</v>
      </c>
      <c r="D230" s="100"/>
      <c r="E230" s="15"/>
      <c r="I230" s="84"/>
      <c r="J230" s="84"/>
    </row>
    <row r="231" spans="1:10" x14ac:dyDescent="0.2">
      <c r="A231" s="13" t="s">
        <v>71</v>
      </c>
      <c r="B231" s="14" t="s">
        <v>9</v>
      </c>
      <c r="C231" s="15">
        <f>C229*C230</f>
        <v>6</v>
      </c>
      <c r="D231" s="86"/>
      <c r="E231" s="15">
        <f>C231*D231</f>
        <v>0</v>
      </c>
      <c r="I231" s="84"/>
      <c r="J231" s="84"/>
    </row>
    <row r="232" spans="1:10" x14ac:dyDescent="0.2">
      <c r="A232" s="320" t="s">
        <v>323</v>
      </c>
      <c r="B232" s="17" t="s">
        <v>25</v>
      </c>
      <c r="C232" s="93">
        <v>50000</v>
      </c>
      <c r="D232" s="18">
        <f>E229+E231</f>
        <v>0</v>
      </c>
      <c r="E232" s="18">
        <f>IFERROR(D232/C232,"-")</f>
        <v>0</v>
      </c>
      <c r="I232" s="84"/>
      <c r="J232" s="84"/>
    </row>
    <row r="233" spans="1:10" ht="13.5" thickBot="1" x14ac:dyDescent="0.25">
      <c r="A233" s="16" t="s">
        <v>55</v>
      </c>
      <c r="B233" s="17" t="s">
        <v>17</v>
      </c>
      <c r="C233" s="89">
        <f>B204</f>
        <v>0</v>
      </c>
      <c r="D233" s="18">
        <f>E232</f>
        <v>0</v>
      </c>
      <c r="E233" s="18">
        <f>IFERROR(C233*D233,0)</f>
        <v>0</v>
      </c>
      <c r="I233" s="84"/>
      <c r="J233" s="84"/>
    </row>
    <row r="234" spans="1:10" ht="13.5" thickBot="1" x14ac:dyDescent="0.25">
      <c r="F234" s="21">
        <f>E233</f>
        <v>0</v>
      </c>
      <c r="I234" s="84"/>
      <c r="J234" s="84"/>
    </row>
    <row r="235" spans="1:10" ht="11.25" customHeight="1" x14ac:dyDescent="0.2">
      <c r="I235" s="84"/>
      <c r="J235" s="84"/>
    </row>
    <row r="236" spans="1:10" ht="11.25" customHeight="1" thickBot="1" x14ac:dyDescent="0.25">
      <c r="G236" s="9"/>
    </row>
    <row r="237" spans="1:10" ht="13.5" thickBot="1" x14ac:dyDescent="0.25">
      <c r="A237" s="24" t="s">
        <v>219</v>
      </c>
      <c r="B237" s="25"/>
      <c r="C237" s="25"/>
      <c r="D237" s="26"/>
      <c r="E237" s="27"/>
      <c r="F237" s="21">
        <f>+SUM(F164:F236)</f>
        <v>0</v>
      </c>
      <c r="G237" s="9"/>
    </row>
    <row r="238" spans="1:10" ht="11.25" customHeight="1" x14ac:dyDescent="0.2">
      <c r="G238" s="9"/>
    </row>
    <row r="239" spans="1:10" x14ac:dyDescent="0.2">
      <c r="A239" s="34" t="s">
        <v>75</v>
      </c>
      <c r="B239" s="34"/>
      <c r="C239" s="34"/>
      <c r="D239" s="35"/>
      <c r="E239" s="35"/>
      <c r="F239" s="33"/>
      <c r="G239" s="9"/>
    </row>
    <row r="240" spans="1:10" ht="11.25" customHeight="1" thickBot="1" x14ac:dyDescent="0.25">
      <c r="G240" s="9"/>
    </row>
    <row r="241" spans="1:7" ht="13.5" thickBot="1" x14ac:dyDescent="0.25">
      <c r="A241" s="59" t="s">
        <v>63</v>
      </c>
      <c r="B241" s="60" t="s">
        <v>64</v>
      </c>
      <c r="C241" s="60" t="s">
        <v>41</v>
      </c>
      <c r="D241" s="61" t="s">
        <v>231</v>
      </c>
      <c r="E241" s="61" t="s">
        <v>65</v>
      </c>
      <c r="F241" s="62" t="s">
        <v>66</v>
      </c>
      <c r="G241" s="9"/>
    </row>
    <row r="242" spans="1:7" x14ac:dyDescent="0.2">
      <c r="A242" s="16" t="s">
        <v>72</v>
      </c>
      <c r="B242" s="17" t="s">
        <v>9</v>
      </c>
      <c r="C242" s="95">
        <v>0.16666666666666666</v>
      </c>
      <c r="D242" s="86"/>
      <c r="E242" s="18">
        <f>C242*D242</f>
        <v>0</v>
      </c>
      <c r="F242" s="54"/>
      <c r="G242" s="9"/>
    </row>
    <row r="243" spans="1:7" x14ac:dyDescent="0.2">
      <c r="A243" s="16" t="s">
        <v>27</v>
      </c>
      <c r="B243" s="17" t="s">
        <v>9</v>
      </c>
      <c r="C243" s="95">
        <v>0.16666666666666666</v>
      </c>
      <c r="D243" s="86"/>
      <c r="E243" s="18">
        <f>C243*D243</f>
        <v>0</v>
      </c>
      <c r="F243" s="54"/>
      <c r="G243" s="9"/>
    </row>
    <row r="244" spans="1:7" x14ac:dyDescent="0.2">
      <c r="A244" s="16" t="s">
        <v>28</v>
      </c>
      <c r="B244" s="17" t="s">
        <v>9</v>
      </c>
      <c r="C244" s="95">
        <v>0.16666666666666666</v>
      </c>
      <c r="D244" s="86"/>
      <c r="E244" s="18">
        <f>C244*D244</f>
        <v>0</v>
      </c>
      <c r="F244" s="54"/>
      <c r="G244" s="9"/>
    </row>
    <row r="245" spans="1:7" ht="13.5" thickBot="1" x14ac:dyDescent="0.25">
      <c r="A245" s="320" t="s">
        <v>315</v>
      </c>
      <c r="B245" s="329" t="s">
        <v>316</v>
      </c>
      <c r="C245" s="321">
        <v>4</v>
      </c>
      <c r="D245" s="86"/>
      <c r="E245" s="18">
        <f>C245*D245</f>
        <v>0</v>
      </c>
      <c r="F245" s="54"/>
      <c r="G245" s="9"/>
    </row>
    <row r="246" spans="1:7" ht="13.5" hidden="1" thickBot="1" x14ac:dyDescent="0.25">
      <c r="A246" s="16" t="s">
        <v>59</v>
      </c>
      <c r="B246" s="17" t="s">
        <v>57</v>
      </c>
      <c r="C246" s="95"/>
      <c r="D246" s="86"/>
      <c r="E246" s="18">
        <f>C246*D246</f>
        <v>0</v>
      </c>
      <c r="F246" s="54"/>
      <c r="G246" s="9"/>
    </row>
    <row r="247" spans="1:7" ht="13.5" thickBot="1" x14ac:dyDescent="0.25">
      <c r="A247" s="34"/>
      <c r="B247" s="34"/>
      <c r="C247" s="34"/>
      <c r="D247" s="34"/>
      <c r="E247" s="35"/>
      <c r="F247" s="21">
        <f>SUM(E242:E246)</f>
        <v>0</v>
      </c>
      <c r="G247" s="9"/>
    </row>
    <row r="248" spans="1:7" ht="11.25" customHeight="1" thickBot="1" x14ac:dyDescent="0.25">
      <c r="G248" s="9"/>
    </row>
    <row r="249" spans="1:7" ht="13.5" thickBot="1" x14ac:dyDescent="0.25">
      <c r="A249" s="24" t="s">
        <v>220</v>
      </c>
      <c r="B249" s="25"/>
      <c r="C249" s="25"/>
      <c r="D249" s="26"/>
      <c r="E249" s="27"/>
      <c r="F249" s="21">
        <f>+F247</f>
        <v>0</v>
      </c>
      <c r="G249" s="9"/>
    </row>
    <row r="250" spans="1:7" ht="11.25" customHeight="1" x14ac:dyDescent="0.2">
      <c r="G250" s="9"/>
    </row>
    <row r="251" spans="1:7" x14ac:dyDescent="0.2">
      <c r="A251" s="34" t="s">
        <v>76</v>
      </c>
      <c r="B251" s="34"/>
      <c r="C251" s="34"/>
      <c r="D251" s="35"/>
      <c r="E251" s="35"/>
      <c r="F251" s="33"/>
    </row>
    <row r="252" spans="1:7" ht="11.25" customHeight="1" thickBot="1" x14ac:dyDescent="0.25"/>
    <row r="253" spans="1:7" ht="13.5" thickBot="1" x14ac:dyDescent="0.25">
      <c r="A253" s="59" t="s">
        <v>63</v>
      </c>
      <c r="B253" s="60" t="s">
        <v>64</v>
      </c>
      <c r="C253" s="60" t="s">
        <v>41</v>
      </c>
      <c r="D253" s="61" t="s">
        <v>231</v>
      </c>
      <c r="E253" s="61" t="s">
        <v>65</v>
      </c>
      <c r="F253" s="62" t="s">
        <v>66</v>
      </c>
    </row>
    <row r="254" spans="1:7" x14ac:dyDescent="0.2">
      <c r="A254" s="16" t="s">
        <v>217</v>
      </c>
      <c r="B254" s="52" t="s">
        <v>57</v>
      </c>
      <c r="C254" s="68">
        <f>C164</f>
        <v>1</v>
      </c>
      <c r="D254" s="88"/>
      <c r="E254" s="18">
        <f>+D254*C254</f>
        <v>0</v>
      </c>
      <c r="F254" s="54"/>
    </row>
    <row r="255" spans="1:7" x14ac:dyDescent="0.2">
      <c r="A255" s="16" t="s">
        <v>60</v>
      </c>
      <c r="B255" s="52" t="s">
        <v>8</v>
      </c>
      <c r="C255" s="146">
        <v>60</v>
      </c>
      <c r="D255" s="79">
        <f>SUM(E254:E254)</f>
        <v>0</v>
      </c>
      <c r="E255" s="79">
        <f>+D255/C255</f>
        <v>0</v>
      </c>
      <c r="F255" s="54"/>
    </row>
    <row r="256" spans="1:7" x14ac:dyDescent="0.2">
      <c r="A256" s="16" t="s">
        <v>218</v>
      </c>
      <c r="B256" s="17" t="s">
        <v>9</v>
      </c>
      <c r="C256" s="68">
        <f>+C254</f>
        <v>1</v>
      </c>
      <c r="D256" s="88"/>
      <c r="E256" s="18">
        <f>C256*D256</f>
        <v>0</v>
      </c>
      <c r="F256" s="54"/>
    </row>
    <row r="257" spans="1:7" ht="13.5" thickBot="1" x14ac:dyDescent="0.25">
      <c r="A257" s="16" t="s">
        <v>38</v>
      </c>
      <c r="B257" s="52" t="s">
        <v>8</v>
      </c>
      <c r="C257" s="146">
        <v>1</v>
      </c>
      <c r="D257" s="79">
        <f>+E256</f>
        <v>0</v>
      </c>
      <c r="E257" s="79">
        <f>+D257/C257</f>
        <v>0</v>
      </c>
      <c r="F257" s="54"/>
    </row>
    <row r="258" spans="1:7" ht="13.5" thickBot="1" x14ac:dyDescent="0.25">
      <c r="A258" s="80"/>
      <c r="B258" s="80"/>
      <c r="C258" s="80"/>
      <c r="D258" s="117" t="s">
        <v>187</v>
      </c>
      <c r="E258" s="316">
        <f>E200</f>
        <v>1</v>
      </c>
      <c r="F258" s="81">
        <f>(E255+E257)*E258</f>
        <v>0</v>
      </c>
    </row>
    <row r="259" spans="1:7" s="50" customFormat="1" ht="11.25" customHeight="1" thickBot="1" x14ac:dyDescent="0.25">
      <c r="A259" s="9"/>
      <c r="B259" s="9"/>
      <c r="C259" s="9"/>
      <c r="D259" s="10"/>
      <c r="E259" s="10"/>
      <c r="F259" s="10"/>
      <c r="G259" s="83"/>
    </row>
    <row r="260" spans="1:7" ht="13.5" thickBot="1" x14ac:dyDescent="0.25">
      <c r="A260" s="24" t="s">
        <v>216</v>
      </c>
      <c r="B260" s="25"/>
      <c r="C260" s="25"/>
      <c r="D260" s="26"/>
      <c r="E260" s="27"/>
      <c r="F260" s="21">
        <f>+F258</f>
        <v>0</v>
      </c>
    </row>
    <row r="261" spans="1:7" ht="11.25" customHeight="1" thickBot="1" x14ac:dyDescent="0.25"/>
    <row r="262" spans="1:7" ht="17.25" customHeight="1" thickBot="1" x14ac:dyDescent="0.25">
      <c r="A262" s="24" t="s">
        <v>221</v>
      </c>
      <c r="B262" s="28"/>
      <c r="C262" s="28"/>
      <c r="D262" s="29"/>
      <c r="E262" s="30"/>
      <c r="F262" s="22">
        <f>+F122+F156+F237+F249+F260</f>
        <v>0</v>
      </c>
    </row>
    <row r="263" spans="1:7" ht="11.25" customHeight="1" x14ac:dyDescent="0.2"/>
    <row r="264" spans="1:7" x14ac:dyDescent="0.2">
      <c r="A264" s="11" t="s">
        <v>90</v>
      </c>
    </row>
    <row r="265" spans="1:7" ht="11.25" customHeight="1" thickBot="1" x14ac:dyDescent="0.25"/>
    <row r="266" spans="1:7" ht="13.5" thickBot="1" x14ac:dyDescent="0.25">
      <c r="A266" s="59" t="s">
        <v>63</v>
      </c>
      <c r="B266" s="60" t="s">
        <v>64</v>
      </c>
      <c r="C266" s="60" t="s">
        <v>41</v>
      </c>
      <c r="D266" s="61" t="s">
        <v>231</v>
      </c>
      <c r="E266" s="61" t="s">
        <v>65</v>
      </c>
      <c r="F266" s="62" t="s">
        <v>66</v>
      </c>
    </row>
    <row r="267" spans="1:7" ht="13.5" thickBot="1" x14ac:dyDescent="0.25">
      <c r="A267" s="13" t="s">
        <v>37</v>
      </c>
      <c r="B267" s="14" t="s">
        <v>2</v>
      </c>
      <c r="C267" s="132">
        <f>'4.BDI Ajus'!C21*100</f>
        <v>0</v>
      </c>
      <c r="D267" s="15">
        <f>+F262</f>
        <v>0</v>
      </c>
      <c r="E267" s="15">
        <f>C267*D267/100</f>
        <v>0</v>
      </c>
    </row>
    <row r="268" spans="1:7" ht="13.5" thickBot="1" x14ac:dyDescent="0.25">
      <c r="F268" s="21">
        <f>+E267</f>
        <v>0</v>
      </c>
    </row>
    <row r="269" spans="1:7" ht="11.25" customHeight="1" thickBot="1" x14ac:dyDescent="0.25"/>
    <row r="270" spans="1:7" ht="13.5" thickBot="1" x14ac:dyDescent="0.25">
      <c r="A270" s="24" t="s">
        <v>236</v>
      </c>
      <c r="B270" s="28"/>
      <c r="C270" s="28"/>
      <c r="D270" s="29"/>
      <c r="E270" s="30"/>
      <c r="F270" s="22">
        <f>F268</f>
        <v>0</v>
      </c>
    </row>
    <row r="271" spans="1:7" x14ac:dyDescent="0.2">
      <c r="A271" s="34"/>
      <c r="B271" s="34"/>
      <c r="C271" s="34"/>
      <c r="D271" s="35"/>
      <c r="E271" s="35"/>
      <c r="F271" s="33"/>
    </row>
    <row r="272" spans="1:7" ht="11.25" customHeight="1" thickBot="1" x14ac:dyDescent="0.25"/>
    <row r="273" spans="1:7" ht="24.75" customHeight="1" thickBot="1" x14ac:dyDescent="0.25">
      <c r="A273" s="24" t="s">
        <v>222</v>
      </c>
      <c r="B273" s="28"/>
      <c r="C273" s="28"/>
      <c r="D273" s="29"/>
      <c r="E273" s="30"/>
      <c r="F273" s="22">
        <f>F262+F270</f>
        <v>0</v>
      </c>
    </row>
    <row r="274" spans="1:7" ht="12.6" customHeight="1" x14ac:dyDescent="0.2">
      <c r="A274" s="55"/>
      <c r="B274" s="55"/>
      <c r="C274" s="55"/>
      <c r="D274" s="56"/>
      <c r="E274" s="56"/>
      <c r="F274" s="56"/>
    </row>
    <row r="275" spans="1:7" ht="14.25" hidden="1" x14ac:dyDescent="0.2">
      <c r="A275" s="8"/>
      <c r="B275" s="8"/>
      <c r="C275" s="8"/>
      <c r="D275" s="36"/>
      <c r="E275" s="36"/>
    </row>
    <row r="276" spans="1:7" ht="16.149999999999999" hidden="1" customHeight="1" x14ac:dyDescent="0.2">
      <c r="A276" s="242" t="s">
        <v>215</v>
      </c>
      <c r="B276" s="243"/>
      <c r="C276" s="243"/>
      <c r="D276" s="244"/>
      <c r="E276" s="245" t="s">
        <v>26</v>
      </c>
      <c r="G276" s="10" t="s">
        <v>196</v>
      </c>
    </row>
    <row r="277" spans="1:7" hidden="1" x14ac:dyDescent="0.2"/>
    <row r="278" spans="1:7" ht="25.5" hidden="1" customHeight="1" thickBot="1" x14ac:dyDescent="0.25">
      <c r="A278" s="24" t="s">
        <v>70</v>
      </c>
      <c r="B278" s="25"/>
      <c r="C278" s="25"/>
      <c r="D278" s="26"/>
      <c r="E278" s="246" t="s">
        <v>33</v>
      </c>
      <c r="F278" s="247" t="str">
        <f>IFERROR(F273/D276,"-")</f>
        <v>-</v>
      </c>
      <c r="G278" s="10" t="s">
        <v>196</v>
      </c>
    </row>
    <row r="279" spans="1:7" ht="12.6" hidden="1" customHeight="1" x14ac:dyDescent="0.2">
      <c r="A279" s="34"/>
      <c r="B279" s="34"/>
      <c r="C279" s="34"/>
      <c r="D279" s="35"/>
      <c r="E279" s="35"/>
      <c r="F279" s="35"/>
    </row>
    <row r="280" spans="1:7" s="4" customFormat="1" ht="9.75" hidden="1" customHeight="1" x14ac:dyDescent="0.2">
      <c r="A280" s="38"/>
      <c r="B280" s="10"/>
      <c r="C280" s="10"/>
      <c r="D280" s="10"/>
      <c r="E280" s="10"/>
      <c r="F280" s="10"/>
      <c r="G280" s="6"/>
    </row>
    <row r="281" spans="1:7" s="4" customFormat="1" ht="9.75" hidden="1" customHeight="1" x14ac:dyDescent="0.2">
      <c r="A281" s="38"/>
      <c r="B281" s="10"/>
      <c r="C281" s="10"/>
      <c r="D281" s="10"/>
      <c r="E281" s="10"/>
      <c r="F281" s="10"/>
      <c r="G281" s="6"/>
    </row>
    <row r="282" spans="1:7" s="4" customFormat="1" ht="9.75" hidden="1" customHeight="1" x14ac:dyDescent="0.2">
      <c r="A282" s="38"/>
      <c r="B282" s="10"/>
      <c r="C282" s="10"/>
      <c r="D282" s="10"/>
      <c r="E282" s="10"/>
      <c r="F282" s="10"/>
      <c r="G282" s="6"/>
    </row>
    <row r="283" spans="1:7" x14ac:dyDescent="0.2">
      <c r="A283" s="11" t="s">
        <v>338</v>
      </c>
      <c r="B283" s="11" t="s">
        <v>337</v>
      </c>
      <c r="C283" s="11"/>
      <c r="D283" s="43"/>
      <c r="E283" s="43"/>
      <c r="F283" s="43"/>
    </row>
    <row r="284" spans="1:7" x14ac:dyDescent="0.2">
      <c r="A284" s="7"/>
    </row>
    <row r="312" spans="4:7" ht="9" customHeight="1" x14ac:dyDescent="0.2">
      <c r="D312" s="9"/>
      <c r="E312" s="9"/>
      <c r="F312" s="9"/>
      <c r="G312" s="9"/>
    </row>
  </sheetData>
  <mergeCells count="7">
    <mergeCell ref="A37:D37"/>
    <mergeCell ref="A3:F3"/>
    <mergeCell ref="A4:F4"/>
    <mergeCell ref="A6:F6"/>
    <mergeCell ref="A14:C14"/>
    <mergeCell ref="A29:E29"/>
    <mergeCell ref="A30:D30"/>
  </mergeCells>
  <hyperlinks>
    <hyperlink ref="A178" location="AbaRemun" display="3.1.2. Remuneração do Capital"/>
    <hyperlink ref="A162" location="AbaDeprec" display="3.1.1. Depreciação"/>
  </hyperlinks>
  <pageMargins left="0.9055118110236221" right="0.51181102362204722" top="0.74803149606299213" bottom="0.74803149606299213" header="0.31496062992125984" footer="0.31496062992125984"/>
  <pageSetup paperSize="9" scale="68" fitToHeight="3" orientation="portrait" r:id="rId1"/>
  <headerFooter alignWithMargins="0">
    <oddHeader>&amp;C&amp;"Arial,Negrito"&amp;11CONSORCIO INTERMUNICIPAL DE RESÍDUOS SÓLIDOS  URBANOS – CRESU
           cresu_consorc@yahoo.com.br - CNPJ: 03.628.611/0001-77
Pirapó - RS.</oddHeader>
    <oddFooter>&amp;R&amp;P de &amp;N</oddFooter>
  </headerFooter>
  <rowBreaks count="1" manualBreakCount="1">
    <brk id="177" max="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opLeftCell="A23" workbookViewId="0">
      <selection activeCell="C31" sqref="C31"/>
    </sheetView>
  </sheetViews>
  <sheetFormatPr defaultColWidth="9.140625" defaultRowHeight="12.75" x14ac:dyDescent="0.2"/>
  <cols>
    <col min="1" max="1" width="13.5703125" style="1" customWidth="1"/>
    <col min="2" max="2" width="39.5703125" style="1" bestFit="1" customWidth="1"/>
    <col min="3" max="3" width="20.85546875" style="1" customWidth="1"/>
    <col min="4" max="4" width="37.28515625" style="149" customWidth="1"/>
    <col min="5" max="10" width="9.140625" style="1"/>
    <col min="11" max="11" width="11" style="1" bestFit="1" customWidth="1"/>
    <col min="12" max="16384" width="9.140625" style="1"/>
  </cols>
  <sheetData>
    <row r="1" spans="1:12" ht="15.75" x14ac:dyDescent="0.2">
      <c r="A1" s="291"/>
      <c r="B1" s="9"/>
      <c r="C1" s="9"/>
    </row>
    <row r="2" spans="1:12" ht="15.75" x14ac:dyDescent="0.2">
      <c r="A2" s="322"/>
      <c r="B2" s="9"/>
      <c r="C2" s="9"/>
    </row>
    <row r="3" spans="1:12" s="4" customFormat="1" ht="15.6" customHeight="1" x14ac:dyDescent="0.2">
      <c r="A3" s="322"/>
      <c r="B3" s="9"/>
      <c r="C3" s="9"/>
      <c r="D3" s="131"/>
      <c r="E3" s="131"/>
      <c r="F3" s="131"/>
      <c r="G3" s="6"/>
    </row>
    <row r="4" spans="1:12" s="4" customFormat="1" ht="15.6" hidden="1" customHeight="1" x14ac:dyDescent="0.2">
      <c r="A4" s="322"/>
      <c r="B4" s="9"/>
      <c r="C4" s="9"/>
      <c r="D4" s="131"/>
      <c r="E4" s="131"/>
      <c r="F4" s="131"/>
      <c r="G4" s="6"/>
    </row>
    <row r="5" spans="1:12" s="4" customFormat="1" ht="16.5" customHeight="1" x14ac:dyDescent="0.2">
      <c r="A5" s="291"/>
      <c r="C5" s="131"/>
      <c r="D5" s="6"/>
      <c r="E5" s="6"/>
      <c r="F5" s="6"/>
      <c r="G5" s="6"/>
    </row>
    <row r="6" spans="1:12" s="4" customFormat="1" ht="16.5" customHeight="1" x14ac:dyDescent="0.2">
      <c r="A6" s="292"/>
      <c r="B6" s="131"/>
      <c r="C6" s="131"/>
      <c r="D6" s="6"/>
      <c r="E6" s="6"/>
      <c r="F6" s="6"/>
      <c r="G6" s="6"/>
    </row>
    <row r="7" spans="1:12" ht="13.5" thickBot="1" x14ac:dyDescent="0.25"/>
    <row r="8" spans="1:12" ht="18" x14ac:dyDescent="0.2">
      <c r="A8" s="386" t="s">
        <v>225</v>
      </c>
      <c r="B8" s="387"/>
      <c r="C8" s="388"/>
      <c r="D8" s="141"/>
      <c r="E8" s="141"/>
      <c r="F8" s="141"/>
    </row>
    <row r="9" spans="1:12" ht="14.25" x14ac:dyDescent="0.2">
      <c r="A9" s="160" t="s">
        <v>133</v>
      </c>
      <c r="B9" s="161" t="s">
        <v>134</v>
      </c>
      <c r="C9" s="162" t="s">
        <v>135</v>
      </c>
      <c r="D9" s="163"/>
    </row>
    <row r="10" spans="1:12" ht="14.25" x14ac:dyDescent="0.2">
      <c r="A10" s="160" t="s">
        <v>136</v>
      </c>
      <c r="B10" s="161" t="s">
        <v>42</v>
      </c>
      <c r="C10" s="164">
        <v>0.2</v>
      </c>
      <c r="D10" s="163"/>
      <c r="F10" s="149"/>
      <c r="G10" s="149"/>
      <c r="H10" s="149"/>
      <c r="I10" s="149"/>
      <c r="J10" s="149"/>
      <c r="K10" s="149"/>
      <c r="L10" s="149"/>
    </row>
    <row r="11" spans="1:12" ht="14.25" x14ac:dyDescent="0.2">
      <c r="A11" s="160" t="s">
        <v>137</v>
      </c>
      <c r="B11" s="161" t="s">
        <v>138</v>
      </c>
      <c r="C11" s="164">
        <v>1.4999999999999999E-2</v>
      </c>
      <c r="D11" s="163"/>
      <c r="F11" s="149"/>
      <c r="G11" s="149"/>
      <c r="H11" s="149"/>
      <c r="I11" s="149"/>
      <c r="J11" s="149"/>
      <c r="K11" s="149"/>
      <c r="L11" s="149"/>
    </row>
    <row r="12" spans="1:12" ht="14.25" x14ac:dyDescent="0.2">
      <c r="A12" s="160" t="s">
        <v>139</v>
      </c>
      <c r="B12" s="161" t="s">
        <v>140</v>
      </c>
      <c r="C12" s="164">
        <v>0.01</v>
      </c>
      <c r="D12" s="163"/>
      <c r="F12" s="149"/>
      <c r="G12" s="149"/>
      <c r="H12" s="149"/>
      <c r="I12" s="149"/>
      <c r="J12" s="149"/>
      <c r="K12" s="149"/>
      <c r="L12" s="149"/>
    </row>
    <row r="13" spans="1:12" ht="14.25" x14ac:dyDescent="0.2">
      <c r="A13" s="160" t="s">
        <v>141</v>
      </c>
      <c r="B13" s="161" t="s">
        <v>142</v>
      </c>
      <c r="C13" s="164">
        <v>2E-3</v>
      </c>
      <c r="D13" s="163"/>
      <c r="F13" s="149"/>
      <c r="G13" s="149"/>
      <c r="H13" s="149"/>
      <c r="I13" s="149"/>
      <c r="J13" s="149"/>
      <c r="K13" s="149"/>
      <c r="L13" s="149"/>
    </row>
    <row r="14" spans="1:12" ht="14.25" x14ac:dyDescent="0.2">
      <c r="A14" s="160" t="s">
        <v>143</v>
      </c>
      <c r="B14" s="161" t="s">
        <v>144</v>
      </c>
      <c r="C14" s="164">
        <v>6.0000000000000001E-3</v>
      </c>
      <c r="D14" s="163"/>
      <c r="F14" s="149"/>
      <c r="G14" s="149"/>
      <c r="H14" s="149"/>
      <c r="I14" s="149"/>
      <c r="J14" s="149"/>
      <c r="K14" s="149"/>
      <c r="L14" s="149"/>
    </row>
    <row r="15" spans="1:12" ht="14.25" x14ac:dyDescent="0.2">
      <c r="A15" s="160" t="s">
        <v>145</v>
      </c>
      <c r="B15" s="161" t="s">
        <v>146</v>
      </c>
      <c r="C15" s="164">
        <v>2.5000000000000001E-2</v>
      </c>
      <c r="D15" s="163"/>
      <c r="F15" s="149"/>
      <c r="G15" s="149"/>
      <c r="H15" s="149"/>
      <c r="I15" s="149"/>
      <c r="J15" s="149"/>
      <c r="K15" s="149"/>
      <c r="L15" s="149"/>
    </row>
    <row r="16" spans="1:12" ht="14.25" x14ac:dyDescent="0.2">
      <c r="A16" s="160" t="s">
        <v>147</v>
      </c>
      <c r="B16" s="161" t="s">
        <v>148</v>
      </c>
      <c r="C16" s="164">
        <v>0.03</v>
      </c>
      <c r="D16" s="163"/>
      <c r="F16" s="149"/>
      <c r="G16" s="149"/>
      <c r="H16" s="149"/>
      <c r="I16" s="149"/>
      <c r="J16" s="149"/>
      <c r="K16" s="149"/>
      <c r="L16" s="149"/>
    </row>
    <row r="17" spans="1:12" ht="14.25" x14ac:dyDescent="0.2">
      <c r="A17" s="160" t="s">
        <v>149</v>
      </c>
      <c r="B17" s="161" t="s">
        <v>43</v>
      </c>
      <c r="C17" s="164">
        <v>0.08</v>
      </c>
      <c r="D17" s="165"/>
      <c r="F17" s="149"/>
      <c r="G17" s="149"/>
      <c r="H17" s="149"/>
      <c r="I17" s="149"/>
      <c r="J17" s="149"/>
      <c r="K17" s="149"/>
      <c r="L17" s="149"/>
    </row>
    <row r="18" spans="1:12" ht="15" x14ac:dyDescent="0.2">
      <c r="A18" s="160" t="s">
        <v>150</v>
      </c>
      <c r="B18" s="166" t="s">
        <v>151</v>
      </c>
      <c r="C18" s="167">
        <f>SUM(C10:C17)</f>
        <v>0.36800000000000005</v>
      </c>
      <c r="D18" s="165"/>
      <c r="F18" s="149"/>
      <c r="G18" s="149"/>
      <c r="H18" s="149"/>
      <c r="I18" s="149"/>
      <c r="J18" s="149"/>
      <c r="K18" s="149"/>
      <c r="L18" s="149"/>
    </row>
    <row r="19" spans="1:12" ht="15" x14ac:dyDescent="0.2">
      <c r="A19" s="168"/>
      <c r="B19" s="169"/>
      <c r="C19" s="170"/>
      <c r="D19" s="165"/>
      <c r="F19" s="149"/>
      <c r="G19" s="149"/>
      <c r="H19" s="149"/>
      <c r="I19" s="149"/>
      <c r="J19" s="149"/>
      <c r="K19" s="149"/>
      <c r="L19" s="149"/>
    </row>
    <row r="20" spans="1:12" ht="14.25" x14ac:dyDescent="0.2">
      <c r="A20" s="160" t="s">
        <v>152</v>
      </c>
      <c r="B20" s="171" t="s">
        <v>153</v>
      </c>
      <c r="C20" s="164">
        <v>5.7200000000000001E-2</v>
      </c>
      <c r="D20" s="165"/>
      <c r="F20" s="149"/>
      <c r="G20" s="149"/>
      <c r="H20" s="149"/>
      <c r="I20" s="149"/>
      <c r="J20" s="149"/>
      <c r="K20" s="149"/>
      <c r="L20" s="149"/>
    </row>
    <row r="21" spans="1:12" ht="14.25" x14ac:dyDescent="0.2">
      <c r="A21" s="160" t="s">
        <v>154</v>
      </c>
      <c r="B21" s="171" t="s">
        <v>155</v>
      </c>
      <c r="C21" s="164">
        <f>ROUND('3.CAGED'!C36/'3.CAGED'!C33,4)</f>
        <v>8.3299999999999999E-2</v>
      </c>
      <c r="D21" s="165"/>
      <c r="F21" s="149"/>
      <c r="G21" s="149"/>
      <c r="H21" s="149"/>
      <c r="I21" s="149"/>
      <c r="J21" s="149"/>
      <c r="K21" s="149"/>
      <c r="L21" s="149"/>
    </row>
    <row r="22" spans="1:12" ht="14.25" x14ac:dyDescent="0.2">
      <c r="A22" s="160" t="s">
        <v>214</v>
      </c>
      <c r="B22" s="171" t="s">
        <v>157</v>
      </c>
      <c r="C22" s="164">
        <v>5.9999999999999995E-4</v>
      </c>
      <c r="D22" s="165"/>
      <c r="F22" s="149"/>
      <c r="G22" s="149"/>
      <c r="H22" s="149"/>
      <c r="I22" s="149"/>
      <c r="J22" s="149"/>
      <c r="K22" s="149"/>
      <c r="L22" s="149"/>
    </row>
    <row r="23" spans="1:12" ht="14.25" x14ac:dyDescent="0.2">
      <c r="A23" s="160" t="s">
        <v>156</v>
      </c>
      <c r="B23" s="171" t="s">
        <v>159</v>
      </c>
      <c r="C23" s="164">
        <v>5.5999999999999999E-3</v>
      </c>
      <c r="D23" s="165"/>
      <c r="F23" s="149"/>
      <c r="G23" s="149"/>
      <c r="H23" s="149"/>
      <c r="I23" s="149"/>
      <c r="J23" s="149"/>
      <c r="K23" s="149"/>
      <c r="L23" s="149"/>
    </row>
    <row r="24" spans="1:12" ht="14.25" x14ac:dyDescent="0.2">
      <c r="A24" s="160" t="s">
        <v>158</v>
      </c>
      <c r="B24" s="171" t="s">
        <v>161</v>
      </c>
      <c r="C24" s="164">
        <v>8.9999999999999998E-4</v>
      </c>
      <c r="D24" s="165"/>
      <c r="F24" s="149"/>
      <c r="G24" s="149"/>
      <c r="H24" s="149"/>
      <c r="I24" s="149"/>
      <c r="J24" s="149"/>
      <c r="K24" s="149"/>
      <c r="L24" s="149"/>
    </row>
    <row r="25" spans="1:12" ht="14.25" x14ac:dyDescent="0.2">
      <c r="A25" s="160" t="s">
        <v>160</v>
      </c>
      <c r="B25" s="171" t="s">
        <v>162</v>
      </c>
      <c r="C25" s="164">
        <v>6.8999999999999999E-3</v>
      </c>
      <c r="D25" s="165"/>
      <c r="F25" s="149"/>
      <c r="G25" s="149"/>
      <c r="H25" s="149"/>
      <c r="I25" s="149"/>
      <c r="J25" s="149"/>
      <c r="K25" s="149"/>
      <c r="L25" s="149"/>
    </row>
    <row r="26" spans="1:12" ht="15" x14ac:dyDescent="0.2">
      <c r="A26" s="160" t="s">
        <v>163</v>
      </c>
      <c r="B26" s="166" t="s">
        <v>164</v>
      </c>
      <c r="C26" s="167">
        <f>SUM(C20:C25)</f>
        <v>0.1545</v>
      </c>
      <c r="D26" s="172"/>
      <c r="F26" s="149"/>
      <c r="G26" s="149"/>
      <c r="H26" s="149"/>
      <c r="I26" s="149"/>
      <c r="J26" s="149"/>
      <c r="K26" s="149"/>
      <c r="L26" s="149"/>
    </row>
    <row r="27" spans="1:12" ht="15" x14ac:dyDescent="0.2">
      <c r="A27" s="168"/>
      <c r="B27" s="169"/>
      <c r="C27" s="170"/>
      <c r="D27" s="172"/>
      <c r="F27" s="149"/>
      <c r="G27" s="149"/>
      <c r="H27" s="149"/>
      <c r="I27" s="149"/>
      <c r="J27" s="149"/>
      <c r="K27" s="149"/>
      <c r="L27" s="149"/>
    </row>
    <row r="28" spans="1:12" ht="14.25" x14ac:dyDescent="0.2">
      <c r="A28" s="160" t="s">
        <v>165</v>
      </c>
      <c r="B28" s="161" t="s">
        <v>166</v>
      </c>
      <c r="C28" s="164">
        <v>3.32E-2</v>
      </c>
      <c r="D28" s="165"/>
      <c r="E28" s="173"/>
      <c r="F28" s="149"/>
      <c r="G28" s="149"/>
      <c r="H28" s="149"/>
      <c r="I28" s="149"/>
      <c r="J28" s="149"/>
      <c r="K28" s="149"/>
      <c r="L28" s="149"/>
    </row>
    <row r="29" spans="1:12" ht="14.25" x14ac:dyDescent="0.2">
      <c r="A29" s="160" t="s">
        <v>213</v>
      </c>
      <c r="B29" s="161" t="s">
        <v>168</v>
      </c>
      <c r="C29" s="164">
        <v>4.0899999999999999E-2</v>
      </c>
      <c r="D29" s="165"/>
      <c r="F29" s="149"/>
      <c r="G29" s="149"/>
      <c r="H29" s="174"/>
      <c r="I29" s="149"/>
      <c r="J29" s="149"/>
      <c r="K29" s="149"/>
      <c r="L29" s="149"/>
    </row>
    <row r="30" spans="1:12" ht="14.25" x14ac:dyDescent="0.2">
      <c r="A30" s="160" t="s">
        <v>167</v>
      </c>
      <c r="B30" s="161" t="s">
        <v>170</v>
      </c>
      <c r="C30" s="164">
        <v>8.0000000000000004E-4</v>
      </c>
      <c r="D30" s="165"/>
      <c r="E30" s="173"/>
      <c r="F30" s="149"/>
      <c r="G30" s="149"/>
      <c r="H30" s="149"/>
      <c r="I30" s="149"/>
      <c r="J30" s="149"/>
      <c r="K30" s="149"/>
      <c r="L30" s="149"/>
    </row>
    <row r="31" spans="1:12" ht="14.25" x14ac:dyDescent="0.2">
      <c r="A31" s="160" t="s">
        <v>169</v>
      </c>
      <c r="B31" s="161" t="s">
        <v>172</v>
      </c>
      <c r="C31" s="164">
        <v>2.81E-2</v>
      </c>
      <c r="D31" s="165"/>
      <c r="F31" s="149"/>
      <c r="G31" s="175"/>
      <c r="H31" s="149"/>
      <c r="I31" s="149"/>
      <c r="J31" s="149"/>
      <c r="K31" s="149"/>
      <c r="L31" s="149"/>
    </row>
    <row r="32" spans="1:12" ht="14.25" x14ac:dyDescent="0.2">
      <c r="A32" s="160" t="s">
        <v>171</v>
      </c>
      <c r="B32" s="161" t="s">
        <v>173</v>
      </c>
      <c r="C32" s="164">
        <v>2.8E-3</v>
      </c>
      <c r="D32" s="165"/>
      <c r="F32" s="149"/>
      <c r="G32" s="149"/>
      <c r="H32" s="149"/>
      <c r="I32" s="149"/>
      <c r="J32" s="149"/>
      <c r="K32" s="149"/>
      <c r="L32" s="149"/>
    </row>
    <row r="33" spans="1:12" ht="15" x14ac:dyDescent="0.2">
      <c r="A33" s="160" t="s">
        <v>174</v>
      </c>
      <c r="B33" s="166" t="s">
        <v>175</v>
      </c>
      <c r="C33" s="167">
        <f>SUM(C28:C32)</f>
        <v>0.10579999999999999</v>
      </c>
      <c r="D33" s="172"/>
      <c r="F33" s="149"/>
      <c r="G33" s="149"/>
      <c r="H33" s="149"/>
      <c r="I33" s="149"/>
      <c r="J33" s="149"/>
      <c r="K33" s="149"/>
      <c r="L33" s="149"/>
    </row>
    <row r="34" spans="1:12" ht="15" x14ac:dyDescent="0.2">
      <c r="A34" s="168"/>
      <c r="B34" s="169"/>
      <c r="C34" s="170"/>
      <c r="D34" s="172"/>
      <c r="F34" s="149"/>
      <c r="G34" s="149"/>
      <c r="H34" s="149"/>
      <c r="I34" s="149"/>
      <c r="J34" s="149"/>
      <c r="K34" s="149"/>
      <c r="L34" s="149"/>
    </row>
    <row r="35" spans="1:12" ht="14.25" x14ac:dyDescent="0.2">
      <c r="A35" s="160" t="s">
        <v>176</v>
      </c>
      <c r="B35" s="161" t="s">
        <v>177</v>
      </c>
      <c r="C35" s="164">
        <v>5.7000000000000002E-2</v>
      </c>
      <c r="D35" s="165"/>
      <c r="F35" s="149"/>
      <c r="G35" s="149"/>
      <c r="H35" s="149"/>
      <c r="I35" s="149"/>
      <c r="J35" s="149"/>
      <c r="K35" s="149"/>
      <c r="L35" s="149"/>
    </row>
    <row r="36" spans="1:12" ht="28.5" x14ac:dyDescent="0.2">
      <c r="A36" s="160" t="s">
        <v>178</v>
      </c>
      <c r="B36" s="176" t="s">
        <v>283</v>
      </c>
      <c r="C36" s="164">
        <v>3.0000000000000001E-3</v>
      </c>
      <c r="D36" s="165"/>
      <c r="F36" s="149"/>
      <c r="G36" s="149"/>
      <c r="H36" s="149"/>
      <c r="I36" s="149"/>
      <c r="J36" s="149"/>
      <c r="K36" s="149"/>
      <c r="L36" s="149"/>
    </row>
    <row r="37" spans="1:12" ht="15" x14ac:dyDescent="0.2">
      <c r="A37" s="160" t="s">
        <v>179</v>
      </c>
      <c r="B37" s="166" t="s">
        <v>180</v>
      </c>
      <c r="C37" s="167">
        <f>SUM(C35:C36)</f>
        <v>6.0000000000000005E-2</v>
      </c>
      <c r="D37" s="177"/>
      <c r="F37" s="149"/>
      <c r="G37" s="149"/>
      <c r="H37" s="149"/>
      <c r="I37" s="149"/>
      <c r="J37" s="149"/>
      <c r="K37" s="149"/>
      <c r="L37" s="149"/>
    </row>
    <row r="38" spans="1:12" ht="15.75" thickBot="1" x14ac:dyDescent="0.25">
      <c r="A38" s="178"/>
      <c r="B38" s="179" t="s">
        <v>181</v>
      </c>
      <c r="C38" s="180">
        <f>C37+C33+C26+C18</f>
        <v>0.68830000000000013</v>
      </c>
      <c r="D38" s="177"/>
      <c r="F38" s="149"/>
      <c r="G38" s="149"/>
      <c r="H38" s="149"/>
      <c r="I38" s="149"/>
      <c r="J38" s="149"/>
      <c r="K38" s="149"/>
      <c r="L38" s="149"/>
    </row>
    <row r="39" spans="1:12" ht="15" x14ac:dyDescent="0.2">
      <c r="A39" s="165"/>
      <c r="B39" s="181"/>
      <c r="C39" s="182"/>
      <c r="D39" s="183"/>
      <c r="F39" s="149"/>
      <c r="G39" s="149"/>
      <c r="H39" s="149"/>
      <c r="I39" s="149"/>
      <c r="J39" s="149"/>
      <c r="K39" s="149"/>
      <c r="L39" s="149"/>
    </row>
    <row r="40" spans="1:12" ht="14.25" x14ac:dyDescent="0.2">
      <c r="A40" s="165"/>
      <c r="B40" s="165"/>
      <c r="C40" s="184"/>
      <c r="D40" s="185"/>
      <c r="F40" s="149"/>
      <c r="G40" s="149"/>
      <c r="H40" s="149"/>
      <c r="I40" s="149"/>
      <c r="J40" s="149"/>
      <c r="K40" s="149"/>
      <c r="L40" s="149"/>
    </row>
    <row r="41" spans="1:12" ht="14.25" x14ac:dyDescent="0.2">
      <c r="A41" s="163"/>
      <c r="B41" s="163"/>
      <c r="C41" s="186"/>
      <c r="D41" s="163"/>
      <c r="F41" s="149"/>
      <c r="G41" s="149"/>
      <c r="H41" s="149"/>
      <c r="I41" s="149"/>
      <c r="J41" s="149"/>
      <c r="K41" s="149"/>
      <c r="L41" s="149"/>
    </row>
    <row r="42" spans="1:12" ht="14.25" x14ac:dyDescent="0.2">
      <c r="A42" s="163"/>
      <c r="B42" s="163"/>
      <c r="C42" s="186"/>
      <c r="D42" s="163"/>
      <c r="F42" s="149"/>
      <c r="G42" s="149"/>
      <c r="H42" s="149"/>
      <c r="I42" s="149"/>
      <c r="J42" s="149"/>
      <c r="K42" s="149"/>
      <c r="L42" s="149"/>
    </row>
    <row r="43" spans="1:12" ht="14.25" x14ac:dyDescent="0.2">
      <c r="A43" s="163"/>
      <c r="B43" s="163"/>
      <c r="C43" s="186"/>
      <c r="D43" s="163"/>
      <c r="F43" s="149"/>
      <c r="G43" s="149"/>
      <c r="H43" s="149"/>
      <c r="I43" s="149"/>
      <c r="J43" s="149"/>
      <c r="K43" s="149"/>
      <c r="L43" s="149"/>
    </row>
    <row r="44" spans="1:12" ht="15" x14ac:dyDescent="0.2">
      <c r="A44" s="163"/>
      <c r="B44" s="187"/>
      <c r="C44" s="188"/>
      <c r="D44" s="163"/>
      <c r="F44" s="149"/>
      <c r="G44" s="149"/>
      <c r="H44" s="149"/>
      <c r="I44" s="149"/>
      <c r="J44" s="149"/>
      <c r="K44" s="149"/>
      <c r="L44" s="149"/>
    </row>
    <row r="45" spans="1:12" ht="15" x14ac:dyDescent="0.2">
      <c r="A45" s="177"/>
      <c r="B45" s="187"/>
      <c r="C45" s="188"/>
      <c r="D45" s="177"/>
      <c r="E45" s="149"/>
      <c r="F45" s="149"/>
      <c r="G45" s="149"/>
      <c r="H45" s="149"/>
      <c r="I45" s="149"/>
      <c r="J45" s="149"/>
      <c r="K45" s="149"/>
      <c r="L45" s="149"/>
    </row>
    <row r="46" spans="1:12" ht="16.5" x14ac:dyDescent="0.2">
      <c r="A46" s="189"/>
      <c r="B46" s="149"/>
      <c r="C46" s="149"/>
      <c r="E46" s="149"/>
      <c r="F46" s="149"/>
      <c r="G46" s="149"/>
      <c r="H46" s="149"/>
      <c r="I46" s="149"/>
      <c r="J46" s="149"/>
      <c r="K46" s="149"/>
      <c r="L46" s="149"/>
    </row>
    <row r="47" spans="1:12" x14ac:dyDescent="0.2">
      <c r="A47" s="190"/>
      <c r="B47" s="191"/>
      <c r="C47" s="191"/>
      <c r="E47" s="149"/>
      <c r="F47" s="149"/>
      <c r="G47" s="149"/>
      <c r="H47" s="149"/>
      <c r="I47" s="149"/>
      <c r="J47" s="149"/>
      <c r="K47" s="149"/>
      <c r="L47" s="149"/>
    </row>
    <row r="48" spans="1:12" ht="14.25" x14ac:dyDescent="0.2">
      <c r="A48" s="163"/>
      <c r="B48" s="192"/>
      <c r="C48" s="191"/>
      <c r="E48" s="149"/>
      <c r="F48" s="149"/>
      <c r="G48" s="149"/>
      <c r="H48" s="149"/>
      <c r="I48" s="149"/>
      <c r="J48" s="149"/>
      <c r="K48" s="149"/>
      <c r="L48" s="149"/>
    </row>
    <row r="49" spans="1:12" ht="14.25" x14ac:dyDescent="0.2">
      <c r="A49" s="163"/>
      <c r="B49" s="192"/>
      <c r="C49" s="163"/>
      <c r="E49" s="149"/>
      <c r="F49" s="149"/>
      <c r="G49" s="149"/>
      <c r="H49" s="149"/>
      <c r="I49" s="149"/>
      <c r="J49" s="149"/>
      <c r="K49" s="149"/>
      <c r="L49" s="149"/>
    </row>
    <row r="50" spans="1:12" ht="14.25" x14ac:dyDescent="0.2">
      <c r="A50" s="163"/>
      <c r="B50" s="186"/>
      <c r="C50" s="191"/>
      <c r="E50" s="149"/>
      <c r="F50" s="149"/>
      <c r="G50" s="149"/>
      <c r="H50" s="149"/>
      <c r="I50" s="149"/>
      <c r="J50" s="149"/>
      <c r="K50" s="149"/>
      <c r="L50" s="149"/>
    </row>
    <row r="51" spans="1:12" ht="14.25" x14ac:dyDescent="0.2">
      <c r="A51" s="163"/>
      <c r="B51" s="192"/>
      <c r="C51" s="163"/>
      <c r="E51" s="149"/>
      <c r="F51" s="149"/>
      <c r="G51" s="149"/>
      <c r="H51" s="149"/>
      <c r="I51" s="149"/>
      <c r="J51" s="149"/>
      <c r="K51" s="149"/>
      <c r="L51" s="149"/>
    </row>
    <row r="52" spans="1:12" ht="14.25" x14ac:dyDescent="0.2">
      <c r="A52" s="163"/>
      <c r="B52" s="186"/>
      <c r="C52" s="191"/>
      <c r="E52" s="149"/>
      <c r="F52" s="149"/>
      <c r="G52" s="149"/>
      <c r="H52" s="149"/>
      <c r="I52" s="149"/>
      <c r="J52" s="149"/>
      <c r="K52" s="149"/>
      <c r="L52" s="149"/>
    </row>
    <row r="53" spans="1:12" ht="14.25" x14ac:dyDescent="0.2">
      <c r="A53" s="163"/>
      <c r="B53" s="192"/>
      <c r="C53" s="163"/>
      <c r="E53" s="149"/>
      <c r="F53" s="149"/>
      <c r="G53" s="149"/>
      <c r="H53" s="149"/>
      <c r="I53" s="149"/>
      <c r="J53" s="149"/>
      <c r="K53" s="149"/>
      <c r="L53" s="149"/>
    </row>
    <row r="54" spans="1:12" ht="14.25" x14ac:dyDescent="0.2">
      <c r="A54" s="163"/>
      <c r="B54" s="186"/>
      <c r="C54" s="191"/>
      <c r="E54" s="149"/>
      <c r="F54" s="149"/>
      <c r="G54" s="149"/>
      <c r="H54" s="149"/>
      <c r="I54" s="149"/>
      <c r="J54" s="149"/>
      <c r="K54" s="149"/>
      <c r="L54" s="149"/>
    </row>
    <row r="55" spans="1:12" ht="14.25" x14ac:dyDescent="0.2">
      <c r="A55" s="163"/>
      <c r="B55" s="192"/>
      <c r="C55" s="163"/>
      <c r="E55" s="149"/>
      <c r="F55" s="149"/>
      <c r="G55" s="149"/>
      <c r="H55" s="149"/>
      <c r="I55" s="149"/>
      <c r="J55" s="149"/>
      <c r="K55" s="149"/>
      <c r="L55" s="149"/>
    </row>
    <row r="56" spans="1:12" ht="14.25" x14ac:dyDescent="0.2">
      <c r="A56" s="163"/>
      <c r="B56" s="186"/>
      <c r="C56" s="191"/>
      <c r="E56" s="149"/>
      <c r="F56" s="149"/>
      <c r="G56" s="149"/>
      <c r="H56" s="149"/>
      <c r="I56" s="149"/>
      <c r="J56" s="149"/>
      <c r="K56" s="149"/>
      <c r="L56" s="149"/>
    </row>
    <row r="57" spans="1:12" ht="16.5" x14ac:dyDescent="0.2">
      <c r="A57" s="189"/>
      <c r="B57" s="149"/>
      <c r="C57" s="149"/>
      <c r="E57" s="149"/>
      <c r="F57" s="149"/>
      <c r="G57" s="149"/>
      <c r="H57" s="149"/>
      <c r="I57" s="149"/>
      <c r="J57" s="149"/>
      <c r="K57" s="149"/>
      <c r="L57" s="149"/>
    </row>
    <row r="58" spans="1:12" x14ac:dyDescent="0.2">
      <c r="A58" s="149"/>
      <c r="B58" s="149"/>
      <c r="C58" s="149"/>
      <c r="E58" s="149"/>
      <c r="F58" s="149"/>
      <c r="G58" s="149"/>
      <c r="H58" s="149"/>
      <c r="I58" s="149"/>
      <c r="J58" s="149"/>
      <c r="K58" s="149"/>
      <c r="L58" s="149"/>
    </row>
    <row r="59" spans="1:12" x14ac:dyDescent="0.2">
      <c r="A59" s="149"/>
      <c r="B59" s="149"/>
      <c r="C59" s="149"/>
      <c r="E59" s="149"/>
      <c r="F59" s="149"/>
      <c r="G59" s="149"/>
      <c r="H59" s="149"/>
      <c r="I59" s="149"/>
      <c r="J59" s="149"/>
      <c r="K59" s="149"/>
      <c r="L59" s="149"/>
    </row>
    <row r="60" spans="1:12" x14ac:dyDescent="0.2">
      <c r="A60" s="193"/>
      <c r="B60" s="149"/>
      <c r="C60" s="149"/>
      <c r="E60" s="149"/>
      <c r="F60" s="149"/>
      <c r="G60" s="149"/>
      <c r="H60" s="149"/>
      <c r="I60" s="149"/>
      <c r="J60" s="149"/>
      <c r="K60" s="149"/>
      <c r="L60" s="149"/>
    </row>
    <row r="61" spans="1:12" x14ac:dyDescent="0.2">
      <c r="A61" s="149"/>
      <c r="B61" s="149"/>
      <c r="C61" s="149"/>
      <c r="E61" s="149"/>
    </row>
    <row r="62" spans="1:12" x14ac:dyDescent="0.2">
      <c r="A62" s="149"/>
      <c r="B62" s="149"/>
      <c r="C62" s="149"/>
      <c r="E62" s="149"/>
    </row>
    <row r="63" spans="1:12" x14ac:dyDescent="0.2">
      <c r="A63" s="149"/>
      <c r="B63" s="149"/>
      <c r="C63" s="149"/>
      <c r="E63" s="149"/>
    </row>
    <row r="64" spans="1:12" x14ac:dyDescent="0.2">
      <c r="A64" s="149"/>
      <c r="B64" s="149"/>
      <c r="C64" s="149"/>
      <c r="E64" s="149"/>
    </row>
    <row r="65" spans="1:5" x14ac:dyDescent="0.2">
      <c r="A65" s="149"/>
      <c r="B65" s="149"/>
      <c r="C65" s="149"/>
      <c r="E65" s="149"/>
    </row>
    <row r="66" spans="1:5" x14ac:dyDescent="0.2">
      <c r="A66" s="149"/>
      <c r="B66" s="149"/>
      <c r="C66" s="149"/>
      <c r="E66" s="149"/>
    </row>
    <row r="67" spans="1:5" x14ac:dyDescent="0.2">
      <c r="A67" s="149"/>
      <c r="B67" s="149"/>
      <c r="C67" s="149"/>
      <c r="E67" s="149"/>
    </row>
    <row r="68" spans="1:5" x14ac:dyDescent="0.2">
      <c r="A68" s="149"/>
      <c r="B68" s="149"/>
      <c r="C68" s="149"/>
      <c r="E68" s="149"/>
    </row>
    <row r="69" spans="1:5" x14ac:dyDescent="0.2">
      <c r="A69" s="149"/>
      <c r="B69" s="149"/>
      <c r="C69" s="149"/>
      <c r="E69" s="149"/>
    </row>
  </sheetData>
  <mergeCells count="1">
    <mergeCell ref="A8:C8"/>
  </mergeCells>
  <pageMargins left="0.90551181102362199" right="0.5118110236220472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E35" sqref="E35"/>
    </sheetView>
  </sheetViews>
  <sheetFormatPr defaultColWidth="9.140625" defaultRowHeight="12.75" x14ac:dyDescent="0.2"/>
  <cols>
    <col min="1" max="1" width="8.5703125" style="1" customWidth="1"/>
    <col min="2" max="2" width="67.140625" style="1" customWidth="1"/>
    <col min="3" max="3" width="13.7109375" style="1" customWidth="1"/>
    <col min="4" max="4" width="10.28515625" style="1" customWidth="1"/>
    <col min="5" max="5" width="13.7109375" style="1" customWidth="1"/>
    <col min="6" max="16384" width="9.140625" style="1"/>
  </cols>
  <sheetData>
    <row r="1" spans="1:3" x14ac:dyDescent="0.2">
      <c r="A1" s="102" t="s">
        <v>237</v>
      </c>
    </row>
    <row r="3" spans="1:3" x14ac:dyDescent="0.2">
      <c r="A3" s="1" t="s">
        <v>202</v>
      </c>
    </row>
    <row r="4" spans="1:3" x14ac:dyDescent="0.2">
      <c r="A4" s="266" t="s">
        <v>198</v>
      </c>
    </row>
    <row r="5" spans="1:3" ht="25.5" customHeight="1" x14ac:dyDescent="0.2">
      <c r="A5" s="392" t="s">
        <v>250</v>
      </c>
      <c r="B5" s="391"/>
      <c r="C5" s="391"/>
    </row>
    <row r="6" spans="1:3" x14ac:dyDescent="0.2">
      <c r="A6" s="1" t="s">
        <v>199</v>
      </c>
    </row>
    <row r="7" spans="1:3" ht="26.25" customHeight="1" x14ac:dyDescent="0.2">
      <c r="A7" s="391" t="s">
        <v>200</v>
      </c>
      <c r="B7" s="391"/>
      <c r="C7" s="391"/>
    </row>
    <row r="8" spans="1:3" x14ac:dyDescent="0.2">
      <c r="A8" s="1" t="s">
        <v>201</v>
      </c>
    </row>
    <row r="9" spans="1:3" x14ac:dyDescent="0.2">
      <c r="A9" s="295" t="s">
        <v>238</v>
      </c>
    </row>
    <row r="10" spans="1:3" ht="13.5" thickBot="1" x14ac:dyDescent="0.25"/>
    <row r="11" spans="1:3" ht="18" x14ac:dyDescent="0.25">
      <c r="B11" s="389" t="s">
        <v>223</v>
      </c>
      <c r="C11" s="390"/>
    </row>
    <row r="12" spans="1:3" ht="15" x14ac:dyDescent="0.25">
      <c r="A12" s="149"/>
      <c r="B12" s="148" t="s">
        <v>197</v>
      </c>
      <c r="C12" s="194"/>
    </row>
    <row r="13" spans="1:3" ht="15" x14ac:dyDescent="0.25">
      <c r="A13" s="149"/>
      <c r="B13" s="150" t="s">
        <v>117</v>
      </c>
      <c r="C13" s="151">
        <v>2086</v>
      </c>
    </row>
    <row r="14" spans="1:3" ht="15" x14ac:dyDescent="0.25">
      <c r="A14" s="149"/>
      <c r="B14" s="152" t="s">
        <v>118</v>
      </c>
      <c r="C14" s="151">
        <v>2019</v>
      </c>
    </row>
    <row r="15" spans="1:3" ht="14.25" x14ac:dyDescent="0.2">
      <c r="A15" s="149"/>
      <c r="B15" s="195" t="s">
        <v>119</v>
      </c>
      <c r="C15" s="196">
        <v>44</v>
      </c>
    </row>
    <row r="16" spans="1:3" ht="14.25" x14ac:dyDescent="0.2">
      <c r="A16" s="149"/>
      <c r="B16" s="195" t="s">
        <v>120</v>
      </c>
      <c r="C16" s="196">
        <v>1184</v>
      </c>
    </row>
    <row r="17" spans="1:5" ht="14.25" x14ac:dyDescent="0.2">
      <c r="A17" s="149"/>
      <c r="B17" s="195" t="s">
        <v>121</v>
      </c>
      <c r="C17" s="196">
        <v>370</v>
      </c>
    </row>
    <row r="18" spans="1:5" ht="14.25" x14ac:dyDescent="0.2">
      <c r="A18" s="149"/>
      <c r="B18" s="195" t="s">
        <v>122</v>
      </c>
      <c r="C18" s="196">
        <v>22</v>
      </c>
    </row>
    <row r="19" spans="1:5" ht="14.25" x14ac:dyDescent="0.2">
      <c r="A19" s="149"/>
      <c r="B19" s="195" t="s">
        <v>123</v>
      </c>
      <c r="C19" s="196">
        <v>348</v>
      </c>
    </row>
    <row r="20" spans="1:5" ht="14.25" x14ac:dyDescent="0.2">
      <c r="A20" s="149"/>
      <c r="B20" s="195" t="s">
        <v>124</v>
      </c>
      <c r="C20" s="196">
        <v>1</v>
      </c>
    </row>
    <row r="21" spans="1:5" ht="14.25" x14ac:dyDescent="0.2">
      <c r="A21" s="149"/>
      <c r="B21" s="195" t="s">
        <v>125</v>
      </c>
      <c r="C21" s="196">
        <v>30</v>
      </c>
    </row>
    <row r="22" spans="1:5" ht="14.25" x14ac:dyDescent="0.2">
      <c r="A22" s="149"/>
      <c r="B22" s="197" t="s">
        <v>126</v>
      </c>
      <c r="C22" s="198">
        <v>0</v>
      </c>
    </row>
    <row r="23" spans="1:5" ht="14.25" x14ac:dyDescent="0.2">
      <c r="A23" s="149"/>
      <c r="B23" s="301" t="s">
        <v>289</v>
      </c>
      <c r="C23" s="198">
        <v>0</v>
      </c>
    </row>
    <row r="24" spans="1:5" ht="15" x14ac:dyDescent="0.25">
      <c r="A24" s="149" t="s">
        <v>127</v>
      </c>
      <c r="B24" s="148" t="s">
        <v>128</v>
      </c>
      <c r="C24" s="194"/>
    </row>
    <row r="25" spans="1:5" ht="14.25" x14ac:dyDescent="0.2">
      <c r="A25" s="149"/>
      <c r="B25" s="199" t="s">
        <v>332</v>
      </c>
      <c r="C25" s="200">
        <v>0</v>
      </c>
    </row>
    <row r="26" spans="1:5" ht="14.25" x14ac:dyDescent="0.2">
      <c r="A26" s="149"/>
      <c r="B26" s="195" t="s">
        <v>331</v>
      </c>
      <c r="C26" s="196">
        <v>67</v>
      </c>
    </row>
    <row r="27" spans="1:5" ht="14.25" x14ac:dyDescent="0.2">
      <c r="B27" s="195" t="s">
        <v>333</v>
      </c>
      <c r="C27" s="294">
        <f>C13-C14</f>
        <v>67</v>
      </c>
    </row>
    <row r="28" spans="1:5" ht="14.25" x14ac:dyDescent="0.2">
      <c r="B28" s="201"/>
      <c r="C28" s="202"/>
    </row>
    <row r="29" spans="1:5" s="102" customFormat="1" ht="15" x14ac:dyDescent="0.25">
      <c r="B29" s="150" t="s">
        <v>130</v>
      </c>
      <c r="C29" s="203">
        <f>MEDIAN(C25,C26)</f>
        <v>33.5</v>
      </c>
    </row>
    <row r="30" spans="1:5" ht="15" x14ac:dyDescent="0.25">
      <c r="B30" s="152" t="s">
        <v>287</v>
      </c>
      <c r="C30" s="299">
        <f>C16/C29</f>
        <v>35.343283582089555</v>
      </c>
    </row>
    <row r="31" spans="1:5" ht="15" x14ac:dyDescent="0.25">
      <c r="B31" s="152" t="s">
        <v>288</v>
      </c>
      <c r="C31" s="299">
        <f>MEDIAN(C13,C14)/C29</f>
        <v>61.268656716417908</v>
      </c>
      <c r="E31" s="266"/>
    </row>
    <row r="32" spans="1:5" s="102" customFormat="1" ht="15" x14ac:dyDescent="0.25">
      <c r="B32" s="152" t="s">
        <v>243</v>
      </c>
      <c r="C32" s="297">
        <f>12/C31</f>
        <v>0.19585870889159562</v>
      </c>
    </row>
    <row r="33" spans="2:3" ht="15" x14ac:dyDescent="0.25">
      <c r="B33" s="152" t="s">
        <v>129</v>
      </c>
      <c r="C33" s="154">
        <v>360</v>
      </c>
    </row>
    <row r="34" spans="2:3" ht="15" x14ac:dyDescent="0.25">
      <c r="B34" s="152" t="s">
        <v>239</v>
      </c>
      <c r="C34" s="154">
        <v>10</v>
      </c>
    </row>
    <row r="35" spans="2:3" ht="15" x14ac:dyDescent="0.25">
      <c r="B35" s="150" t="s">
        <v>240</v>
      </c>
      <c r="C35" s="153">
        <v>30</v>
      </c>
    </row>
    <row r="36" spans="2:3" ht="15" x14ac:dyDescent="0.25">
      <c r="B36" s="150" t="s">
        <v>241</v>
      </c>
      <c r="C36" s="153">
        <v>30</v>
      </c>
    </row>
    <row r="37" spans="2:3" s="102" customFormat="1" ht="15" x14ac:dyDescent="0.25">
      <c r="B37" s="150" t="s">
        <v>132</v>
      </c>
      <c r="C37" s="153">
        <f>30+(3*TRUNC(1/C31))</f>
        <v>30</v>
      </c>
    </row>
    <row r="38" spans="2:3" s="102" customFormat="1" ht="15" x14ac:dyDescent="0.25">
      <c r="B38" s="152" t="s">
        <v>43</v>
      </c>
      <c r="C38" s="298">
        <v>0.08</v>
      </c>
    </row>
    <row r="39" spans="2:3" s="102" customFormat="1" ht="15.75" thickBot="1" x14ac:dyDescent="0.3">
      <c r="B39" s="155" t="s">
        <v>131</v>
      </c>
      <c r="C39" s="300">
        <v>0.5</v>
      </c>
    </row>
  </sheetData>
  <mergeCells count="3">
    <mergeCell ref="B11:C11"/>
    <mergeCell ref="A7:C7"/>
    <mergeCell ref="A5:C5"/>
  </mergeCells>
  <pageMargins left="0.90551181102362199" right="0.5118110236220472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5"/>
  <sheetViews>
    <sheetView topLeftCell="A7" workbookViewId="0">
      <selection activeCell="D25" sqref="D25"/>
    </sheetView>
  </sheetViews>
  <sheetFormatPr defaultRowHeight="12.75" x14ac:dyDescent="0.2"/>
  <cols>
    <col min="1" max="1" width="41.85546875" bestFit="1" customWidth="1"/>
    <col min="2" max="2" width="5.5703125" bestFit="1" customWidth="1"/>
    <col min="4" max="4" width="9.7109375" bestFit="1" customWidth="1"/>
    <col min="5" max="5" width="8" style="116" bestFit="1" customWidth="1"/>
    <col min="6" max="6" width="9.7109375" bestFit="1" customWidth="1"/>
  </cols>
  <sheetData>
    <row r="1" spans="1:8" s="138" customFormat="1" ht="15.75" x14ac:dyDescent="0.2">
      <c r="A1" s="291"/>
      <c r="B1" s="9"/>
      <c r="C1" s="9"/>
      <c r="E1" s="139"/>
    </row>
    <row r="2" spans="1:8" s="138" customFormat="1" ht="15.75" x14ac:dyDescent="0.2">
      <c r="A2" s="322"/>
      <c r="B2" s="9"/>
      <c r="C2" s="9"/>
      <c r="E2" s="139"/>
    </row>
    <row r="3" spans="1:8" s="138" customFormat="1" ht="15.75" x14ac:dyDescent="0.2">
      <c r="A3" s="322"/>
      <c r="B3" s="9"/>
      <c r="C3" s="9"/>
      <c r="E3" s="139"/>
    </row>
    <row r="4" spans="1:8" s="138" customFormat="1" ht="15.75" x14ac:dyDescent="0.2">
      <c r="A4" s="322"/>
      <c r="B4" s="9"/>
      <c r="C4" s="9"/>
      <c r="E4" s="139"/>
    </row>
    <row r="5" spans="1:8" s="4" customFormat="1" ht="15.6" hidden="1" customHeight="1" x14ac:dyDescent="0.2">
      <c r="A5" s="291" t="s">
        <v>324</v>
      </c>
      <c r="C5" s="131"/>
      <c r="D5" s="131"/>
      <c r="E5" s="131"/>
      <c r="F5" s="131"/>
      <c r="G5" s="6"/>
    </row>
    <row r="6" spans="1:8" s="4" customFormat="1" ht="16.5" customHeight="1" x14ac:dyDescent="0.2">
      <c r="A6" s="292"/>
      <c r="B6" s="131"/>
      <c r="C6" s="131"/>
      <c r="D6" s="6"/>
      <c r="E6" s="6"/>
      <c r="F6" s="6"/>
      <c r="G6" s="6"/>
    </row>
    <row r="7" spans="1:8" s="4" customFormat="1" ht="16.5" customHeight="1" x14ac:dyDescent="0.2">
      <c r="A7" s="322"/>
      <c r="B7" s="5"/>
      <c r="C7" s="5"/>
      <c r="D7" s="6"/>
      <c r="E7" s="6"/>
      <c r="F7" s="6"/>
      <c r="G7" s="6"/>
    </row>
    <row r="8" spans="1:8" s="138" customFormat="1" ht="15" thickBot="1" x14ac:dyDescent="0.25">
      <c r="B8" s="136"/>
      <c r="C8" s="136"/>
      <c r="E8" s="139"/>
    </row>
    <row r="9" spans="1:8" ht="15.75" x14ac:dyDescent="0.2">
      <c r="A9" s="393" t="s">
        <v>224</v>
      </c>
      <c r="B9" s="394"/>
      <c r="C9" s="394"/>
      <c r="D9" s="394"/>
      <c r="E9" s="394"/>
      <c r="F9" s="395"/>
    </row>
    <row r="10" spans="1:8" ht="16.5" thickBot="1" x14ac:dyDescent="0.25">
      <c r="A10" s="253"/>
      <c r="B10" s="254"/>
      <c r="C10" s="254"/>
      <c r="D10" s="254"/>
      <c r="E10" s="254"/>
      <c r="F10" s="255"/>
    </row>
    <row r="11" spans="1:8" ht="15" x14ac:dyDescent="0.25">
      <c r="A11" s="204"/>
      <c r="B11" s="137"/>
      <c r="C11" s="137"/>
      <c r="D11" s="396" t="s">
        <v>242</v>
      </c>
      <c r="E11" s="397"/>
      <c r="F11" s="398"/>
      <c r="G11" s="138"/>
      <c r="H11" s="138"/>
    </row>
    <row r="12" spans="1:8" ht="15" thickBot="1" x14ac:dyDescent="0.25">
      <c r="A12" s="201"/>
      <c r="B12" s="205"/>
      <c r="C12" s="205"/>
      <c r="D12" s="206" t="s">
        <v>182</v>
      </c>
      <c r="E12" s="207" t="s">
        <v>183</v>
      </c>
      <c r="F12" s="208" t="s">
        <v>184</v>
      </c>
      <c r="G12" s="138"/>
      <c r="H12" s="138"/>
    </row>
    <row r="13" spans="1:8" ht="14.25" x14ac:dyDescent="0.2">
      <c r="A13" s="209" t="s">
        <v>77</v>
      </c>
      <c r="B13" s="210" t="s">
        <v>78</v>
      </c>
      <c r="C13" s="211"/>
      <c r="D13" s="231">
        <v>2.9700000000000001E-2</v>
      </c>
      <c r="E13" s="232">
        <v>5.0799999999999998E-2</v>
      </c>
      <c r="F13" s="233">
        <v>6.2700000000000006E-2</v>
      </c>
      <c r="G13" s="138"/>
      <c r="H13" s="138"/>
    </row>
    <row r="14" spans="1:8" ht="14.25" x14ac:dyDescent="0.2">
      <c r="A14" s="213" t="s">
        <v>79</v>
      </c>
      <c r="B14" s="334" t="s">
        <v>80</v>
      </c>
      <c r="C14" s="214"/>
      <c r="D14" s="231">
        <f>0.3%+0.56%</f>
        <v>8.6E-3</v>
      </c>
      <c r="E14" s="232">
        <f>0.48%+0.85%</f>
        <v>1.3299999999999999E-2</v>
      </c>
      <c r="F14" s="233">
        <f>0.82%+0.89%</f>
        <v>1.7099999999999997E-2</v>
      </c>
      <c r="G14" s="138"/>
      <c r="H14" s="138"/>
    </row>
    <row r="15" spans="1:8" ht="14.25" x14ac:dyDescent="0.2">
      <c r="A15" s="213" t="s">
        <v>81</v>
      </c>
      <c r="B15" s="334" t="s">
        <v>82</v>
      </c>
      <c r="C15" s="214"/>
      <c r="D15" s="231">
        <v>7.7799999999999994E-2</v>
      </c>
      <c r="E15" s="232">
        <v>0.1085</v>
      </c>
      <c r="F15" s="233">
        <v>0.13550000000000001</v>
      </c>
      <c r="G15" s="138"/>
      <c r="H15" s="138"/>
    </row>
    <row r="16" spans="1:8" ht="14.25" x14ac:dyDescent="0.2">
      <c r="A16" s="213" t="s">
        <v>83</v>
      </c>
      <c r="B16" s="334" t="s">
        <v>84</v>
      </c>
      <c r="C16" s="215"/>
      <c r="D16" s="231" t="s">
        <v>279</v>
      </c>
      <c r="E16" s="216"/>
      <c r="F16" s="212"/>
      <c r="G16" s="138"/>
      <c r="H16" s="138"/>
    </row>
    <row r="17" spans="1:8" ht="14.25" x14ac:dyDescent="0.2">
      <c r="A17" s="213" t="s">
        <v>85</v>
      </c>
      <c r="B17" s="399" t="s">
        <v>86</v>
      </c>
      <c r="C17" s="214"/>
      <c r="D17" s="290" t="s">
        <v>185</v>
      </c>
      <c r="E17" s="217">
        <v>10</v>
      </c>
      <c r="F17" s="218"/>
      <c r="G17" s="138"/>
      <c r="H17" s="138"/>
    </row>
    <row r="18" spans="1:8" ht="15" thickBot="1" x14ac:dyDescent="0.25">
      <c r="A18" s="219" t="s">
        <v>308</v>
      </c>
      <c r="B18" s="400"/>
      <c r="C18" s="220"/>
      <c r="D18" s="195"/>
      <c r="E18" s="221"/>
      <c r="F18" s="218"/>
      <c r="G18" s="138"/>
      <c r="H18" s="138"/>
    </row>
    <row r="19" spans="1:8" ht="14.25" x14ac:dyDescent="0.2">
      <c r="A19" s="222" t="s">
        <v>87</v>
      </c>
      <c r="B19" s="223"/>
      <c r="C19" s="224"/>
      <c r="D19" s="195"/>
      <c r="E19" s="221"/>
      <c r="F19" s="218"/>
      <c r="G19" s="138"/>
      <c r="H19" s="138"/>
    </row>
    <row r="20" spans="1:8" ht="15" thickBot="1" x14ac:dyDescent="0.25">
      <c r="A20" s="225" t="s">
        <v>88</v>
      </c>
      <c r="B20" s="226"/>
      <c r="C20" s="227"/>
      <c r="D20" s="195"/>
      <c r="E20" s="221"/>
      <c r="F20" s="218"/>
      <c r="G20" s="138"/>
      <c r="H20" s="138"/>
    </row>
    <row r="21" spans="1:8" ht="15.75" thickBot="1" x14ac:dyDescent="0.25">
      <c r="A21" s="228" t="s">
        <v>89</v>
      </c>
      <c r="B21" s="229"/>
      <c r="C21" s="230">
        <f>ROUND((((1+C13+C14)*(1+C15)*(1+C16))/(1-(C17+C18))-1),4)</f>
        <v>0</v>
      </c>
      <c r="D21" s="234">
        <v>0.21429999999999999</v>
      </c>
      <c r="E21" s="235">
        <v>0.2717</v>
      </c>
      <c r="F21" s="236">
        <v>0.3362</v>
      </c>
      <c r="G21" s="138"/>
      <c r="H21" s="138"/>
    </row>
    <row r="22" spans="1:8" ht="14.25" x14ac:dyDescent="0.2">
      <c r="A22" s="138"/>
      <c r="B22" s="138"/>
      <c r="C22" s="138"/>
      <c r="D22" s="138"/>
      <c r="E22" s="139"/>
      <c r="F22" s="138"/>
      <c r="G22" s="138"/>
      <c r="H22" s="138"/>
    </row>
    <row r="23" spans="1:8" ht="14.25" x14ac:dyDescent="0.2">
      <c r="A23" s="138" t="s">
        <v>336</v>
      </c>
      <c r="B23" s="138"/>
      <c r="C23" s="138"/>
      <c r="D23" s="138"/>
      <c r="E23" s="139"/>
      <c r="F23" s="138"/>
      <c r="G23" s="138"/>
      <c r="H23" s="138"/>
    </row>
    <row r="24" spans="1:8" ht="14.25" x14ac:dyDescent="0.2">
      <c r="A24" s="138"/>
      <c r="B24" s="138"/>
      <c r="C24" s="138"/>
      <c r="D24" s="138"/>
      <c r="E24" s="139"/>
      <c r="F24" s="138"/>
      <c r="G24" s="138"/>
      <c r="H24" s="138"/>
    </row>
    <row r="25" spans="1:8" ht="14.25" x14ac:dyDescent="0.2">
      <c r="A25" s="138"/>
      <c r="B25" s="138"/>
      <c r="C25" s="138"/>
      <c r="D25" s="138"/>
      <c r="E25" s="139"/>
      <c r="F25" s="138"/>
      <c r="G25" s="138"/>
      <c r="H25" s="138"/>
    </row>
  </sheetData>
  <mergeCells count="3">
    <mergeCell ref="A9:F9"/>
    <mergeCell ref="D11:F11"/>
    <mergeCell ref="B17:B18"/>
  </mergeCells>
  <pageMargins left="0.90551181102362199" right="0.51181102362204722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G9" sqref="G9"/>
    </sheetView>
  </sheetViews>
  <sheetFormatPr defaultColWidth="8.85546875" defaultRowHeight="15" x14ac:dyDescent="0.25"/>
  <cols>
    <col min="1" max="1" width="18.28515625" style="305" customWidth="1"/>
    <col min="2" max="2" width="21.28515625" style="305" bestFit="1" customWidth="1"/>
    <col min="3" max="3" width="15.42578125" style="305" customWidth="1"/>
    <col min="4" max="4" width="8.85546875" style="305"/>
    <col min="5" max="6" width="11.42578125" style="305" hidden="1" customWidth="1"/>
    <col min="7" max="7" width="11.42578125" style="305" bestFit="1" customWidth="1"/>
    <col min="8" max="8" width="8.85546875" style="305"/>
    <col min="9" max="10" width="11.28515625" style="305" bestFit="1" customWidth="1"/>
    <col min="11" max="16384" width="8.85546875" style="305"/>
  </cols>
  <sheetData>
    <row r="1" spans="1:7" ht="15.75" x14ac:dyDescent="0.25">
      <c r="A1" s="324" t="s">
        <v>325</v>
      </c>
    </row>
    <row r="2" spans="1:7" ht="15.75" x14ac:dyDescent="0.25">
      <c r="A2" s="324" t="s">
        <v>328</v>
      </c>
    </row>
    <row r="3" spans="1:7" ht="15.75" x14ac:dyDescent="0.25">
      <c r="A3" s="324" t="s">
        <v>335</v>
      </c>
    </row>
    <row r="4" spans="1:7" x14ac:dyDescent="0.25">
      <c r="A4" s="304"/>
    </row>
    <row r="5" spans="1:7" x14ac:dyDescent="0.25">
      <c r="A5" s="401" t="s">
        <v>318</v>
      </c>
      <c r="B5" s="402"/>
      <c r="C5" s="403"/>
      <c r="E5" s="306" t="s">
        <v>301</v>
      </c>
      <c r="F5" s="306" t="s">
        <v>301</v>
      </c>
    </row>
    <row r="6" spans="1:7" x14ac:dyDescent="0.25">
      <c r="A6" s="307" t="s">
        <v>302</v>
      </c>
      <c r="B6" s="307" t="s">
        <v>317</v>
      </c>
      <c r="C6" s="307" t="s">
        <v>306</v>
      </c>
      <c r="E6" s="308">
        <v>108.51</v>
      </c>
      <c r="F6" s="308"/>
    </row>
    <row r="7" spans="1:7" x14ac:dyDescent="0.25">
      <c r="A7" s="401" t="s">
        <v>305</v>
      </c>
      <c r="B7" s="403"/>
      <c r="C7" s="327">
        <v>714690</v>
      </c>
    </row>
    <row r="8" spans="1:7" x14ac:dyDescent="0.25">
      <c r="A8" s="330" t="s">
        <v>319</v>
      </c>
      <c r="B8" s="309"/>
      <c r="C8" s="310">
        <v>12</v>
      </c>
    </row>
    <row r="9" spans="1:7" x14ac:dyDescent="0.25">
      <c r="A9" s="330" t="s">
        <v>320</v>
      </c>
      <c r="B9" s="309"/>
      <c r="C9" s="331">
        <f>C7/C8</f>
        <v>59557.5</v>
      </c>
      <c r="G9" s="368"/>
    </row>
    <row r="10" spans="1:7" x14ac:dyDescent="0.25">
      <c r="A10" s="304" t="s">
        <v>329</v>
      </c>
    </row>
    <row r="11" spans="1:7" x14ac:dyDescent="0.25">
      <c r="A11" s="325"/>
      <c r="B11" s="326"/>
      <c r="C11" s="311"/>
      <c r="E11" s="312"/>
    </row>
    <row r="12" spans="1:7" x14ac:dyDescent="0.25">
      <c r="A12" s="325" t="s">
        <v>334</v>
      </c>
      <c r="B12" s="326"/>
      <c r="C12" s="313"/>
      <c r="E12" s="311"/>
    </row>
    <row r="13" spans="1:7" x14ac:dyDescent="0.25">
      <c r="C13" s="311"/>
    </row>
    <row r="14" spans="1:7" x14ac:dyDescent="0.25">
      <c r="E14" s="313"/>
    </row>
  </sheetData>
  <mergeCells count="2">
    <mergeCell ref="A5:C5"/>
    <mergeCell ref="A7:B7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sqref="A1:B17"/>
    </sheetView>
  </sheetViews>
  <sheetFormatPr defaultColWidth="9.140625" defaultRowHeight="19.5" customHeight="1" x14ac:dyDescent="0.2"/>
  <cols>
    <col min="1" max="1" width="24.5703125" style="1" customWidth="1"/>
    <col min="2" max="2" width="20.85546875" style="1" customWidth="1"/>
    <col min="3" max="16384" width="9.140625" style="1"/>
  </cols>
  <sheetData>
    <row r="1" spans="1:2" ht="19.5" customHeight="1" thickBot="1" x14ac:dyDescent="0.25">
      <c r="A1" s="404" t="s">
        <v>226</v>
      </c>
      <c r="B1" s="405"/>
    </row>
    <row r="2" spans="1:2" s="102" customFormat="1" ht="19.5" customHeight="1" x14ac:dyDescent="0.2">
      <c r="A2" s="256" t="s">
        <v>203</v>
      </c>
      <c r="B2" s="257" t="s">
        <v>281</v>
      </c>
    </row>
    <row r="3" spans="1:2" ht="19.5" customHeight="1" x14ac:dyDescent="0.2">
      <c r="A3" s="157">
        <v>1</v>
      </c>
      <c r="B3" s="156">
        <v>33.629999999999995</v>
      </c>
    </row>
    <row r="4" spans="1:2" ht="19.5" customHeight="1" x14ac:dyDescent="0.2">
      <c r="A4" s="157">
        <v>2</v>
      </c>
      <c r="B4" s="156">
        <v>43.13</v>
      </c>
    </row>
    <row r="5" spans="1:2" ht="19.5" customHeight="1" x14ac:dyDescent="0.2">
      <c r="A5" s="157">
        <v>3</v>
      </c>
      <c r="B5" s="156">
        <v>48.68</v>
      </c>
    </row>
    <row r="6" spans="1:2" ht="19.5" customHeight="1" x14ac:dyDescent="0.2">
      <c r="A6" s="157">
        <v>4</v>
      </c>
      <c r="B6" s="156">
        <v>52.62</v>
      </c>
    </row>
    <row r="7" spans="1:2" ht="19.5" customHeight="1" x14ac:dyDescent="0.2">
      <c r="A7" s="157">
        <v>5</v>
      </c>
      <c r="B7" s="156">
        <v>55.679999999999993</v>
      </c>
    </row>
    <row r="8" spans="1:2" ht="19.5" customHeight="1" x14ac:dyDescent="0.2">
      <c r="A8" s="157">
        <v>6</v>
      </c>
      <c r="B8" s="156">
        <v>58.18</v>
      </c>
    </row>
    <row r="9" spans="1:2" ht="19.5" customHeight="1" x14ac:dyDescent="0.2">
      <c r="A9" s="157">
        <v>7</v>
      </c>
      <c r="B9" s="156">
        <v>60.29</v>
      </c>
    </row>
    <row r="10" spans="1:2" ht="19.5" customHeight="1" x14ac:dyDescent="0.2">
      <c r="A10" s="157">
        <v>8</v>
      </c>
      <c r="B10" s="156">
        <v>62.12</v>
      </c>
    </row>
    <row r="11" spans="1:2" ht="19.5" customHeight="1" x14ac:dyDescent="0.2">
      <c r="A11" s="157">
        <v>9</v>
      </c>
      <c r="B11" s="156">
        <v>63.73</v>
      </c>
    </row>
    <row r="12" spans="1:2" ht="19.5" customHeight="1" x14ac:dyDescent="0.2">
      <c r="A12" s="157">
        <v>10</v>
      </c>
      <c r="B12" s="156">
        <v>65.180000000000007</v>
      </c>
    </row>
    <row r="13" spans="1:2" ht="19.5" customHeight="1" x14ac:dyDescent="0.2">
      <c r="A13" s="157">
        <v>11</v>
      </c>
      <c r="B13" s="156">
        <v>66.47999999999999</v>
      </c>
    </row>
    <row r="14" spans="1:2" ht="19.5" customHeight="1" x14ac:dyDescent="0.2">
      <c r="A14" s="157">
        <v>12</v>
      </c>
      <c r="B14" s="156">
        <v>67.67</v>
      </c>
    </row>
    <row r="15" spans="1:2" ht="19.5" customHeight="1" x14ac:dyDescent="0.2">
      <c r="A15" s="157">
        <v>13</v>
      </c>
      <c r="B15" s="156">
        <v>68.77</v>
      </c>
    </row>
    <row r="16" spans="1:2" ht="19.5" customHeight="1" x14ac:dyDescent="0.2">
      <c r="A16" s="157">
        <v>14</v>
      </c>
      <c r="B16" s="156">
        <v>69.789999999999992</v>
      </c>
    </row>
    <row r="17" spans="1:2" ht="19.5" customHeight="1" thickBot="1" x14ac:dyDescent="0.25">
      <c r="A17" s="158">
        <v>15</v>
      </c>
      <c r="B17" s="159">
        <v>70.73</v>
      </c>
    </row>
  </sheetData>
  <mergeCells count="1">
    <mergeCell ref="A1:B1"/>
  </mergeCells>
  <pageMargins left="0.90551181102362199" right="0.5118110236220472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sqref="A1:A17"/>
    </sheetView>
  </sheetViews>
  <sheetFormatPr defaultColWidth="9.140625" defaultRowHeight="12.75" x14ac:dyDescent="0.2"/>
  <cols>
    <col min="1" max="1" width="70.42578125" style="1" customWidth="1"/>
    <col min="2" max="3" width="9.140625" style="1"/>
    <col min="4" max="4" width="12.85546875" style="1" bestFit="1" customWidth="1"/>
    <col min="5" max="16384" width="9.140625" style="1"/>
  </cols>
  <sheetData>
    <row r="1" spans="1:1" ht="18" x14ac:dyDescent="0.25">
      <c r="A1" s="240" t="s">
        <v>230</v>
      </c>
    </row>
    <row r="2" spans="1:1" x14ac:dyDescent="0.2">
      <c r="A2" s="237"/>
    </row>
    <row r="3" spans="1:1" x14ac:dyDescent="0.2">
      <c r="A3" s="237" t="s">
        <v>244</v>
      </c>
    </row>
    <row r="4" spans="1:1" x14ac:dyDescent="0.2">
      <c r="A4" s="237"/>
    </row>
    <row r="5" spans="1:1" x14ac:dyDescent="0.2">
      <c r="A5" s="237"/>
    </row>
    <row r="6" spans="1:1" x14ac:dyDescent="0.2">
      <c r="A6" s="237"/>
    </row>
    <row r="7" spans="1:1" x14ac:dyDescent="0.2">
      <c r="A7" s="237"/>
    </row>
    <row r="8" spans="1:1" x14ac:dyDescent="0.2">
      <c r="A8" s="237"/>
    </row>
    <row r="9" spans="1:1" x14ac:dyDescent="0.2">
      <c r="A9" s="237"/>
    </row>
    <row r="10" spans="1:1" x14ac:dyDescent="0.2">
      <c r="A10" s="237"/>
    </row>
    <row r="11" spans="1:1" x14ac:dyDescent="0.2">
      <c r="A11" s="237"/>
    </row>
    <row r="12" spans="1:1" ht="19.5" x14ac:dyDescent="0.35">
      <c r="A12" s="238" t="s">
        <v>227</v>
      </c>
    </row>
    <row r="13" spans="1:1" ht="15" x14ac:dyDescent="0.2">
      <c r="A13" s="238" t="s">
        <v>105</v>
      </c>
    </row>
    <row r="14" spans="1:1" ht="15" x14ac:dyDescent="0.2">
      <c r="A14" s="238" t="s">
        <v>109</v>
      </c>
    </row>
    <row r="15" spans="1:1" ht="19.5" x14ac:dyDescent="0.35">
      <c r="A15" s="238" t="s">
        <v>228</v>
      </c>
    </row>
    <row r="16" spans="1:1" ht="19.5" x14ac:dyDescent="0.35">
      <c r="A16" s="238" t="s">
        <v>229</v>
      </c>
    </row>
    <row r="17" spans="1:1" ht="15.75" thickBot="1" x14ac:dyDescent="0.25">
      <c r="A17" s="239" t="s">
        <v>106</v>
      </c>
    </row>
  </sheetData>
  <pageMargins left="0.90551181102362199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5"/>
  <sheetViews>
    <sheetView workbookViewId="0">
      <selection activeCell="F14" sqref="F14"/>
    </sheetView>
  </sheetViews>
  <sheetFormatPr defaultColWidth="9.140625" defaultRowHeight="12.75" x14ac:dyDescent="0.2"/>
  <cols>
    <col min="1" max="1" width="58.28515625" style="266" customWidth="1"/>
    <col min="2" max="2" width="11.140625" style="266" bestFit="1" customWidth="1"/>
    <col min="3" max="3" width="13.28515625" style="266" bestFit="1" customWidth="1"/>
    <col min="4" max="16384" width="9.140625" style="266"/>
  </cols>
  <sheetData>
    <row r="1" spans="1:10" x14ac:dyDescent="0.2">
      <c r="A1" s="11" t="s">
        <v>195</v>
      </c>
    </row>
    <row r="2" spans="1:10" x14ac:dyDescent="0.2">
      <c r="A2" s="271" t="s">
        <v>256</v>
      </c>
    </row>
    <row r="3" spans="1:10" x14ac:dyDescent="0.2">
      <c r="A3" s="271" t="s">
        <v>282</v>
      </c>
    </row>
    <row r="4" spans="1:10" x14ac:dyDescent="0.2">
      <c r="A4" s="7" t="s">
        <v>280</v>
      </c>
    </row>
    <row r="5" spans="1:10" x14ac:dyDescent="0.2">
      <c r="A5" s="7"/>
    </row>
    <row r="6" spans="1:10" s="4" customFormat="1" ht="15.6" hidden="1" customHeight="1" x14ac:dyDescent="0.2">
      <c r="A6" s="293" t="s">
        <v>286</v>
      </c>
      <c r="B6" s="131"/>
      <c r="C6" s="131"/>
      <c r="D6" s="131"/>
      <c r="E6" s="131"/>
      <c r="F6" s="131"/>
      <c r="G6" s="6"/>
    </row>
    <row r="7" spans="1:10" s="4" customFormat="1" ht="16.5" customHeight="1" x14ac:dyDescent="0.2">
      <c r="A7" s="322" t="s">
        <v>290</v>
      </c>
      <c r="B7" s="5"/>
      <c r="C7" s="5"/>
      <c r="D7" s="6"/>
      <c r="E7" s="6"/>
      <c r="F7" s="6"/>
      <c r="G7" s="6"/>
    </row>
    <row r="8" spans="1:10" s="4" customFormat="1" ht="16.5" customHeight="1" x14ac:dyDescent="0.2">
      <c r="A8" s="322" t="s">
        <v>291</v>
      </c>
      <c r="B8" s="5"/>
      <c r="C8" s="5"/>
      <c r="D8" s="6"/>
      <c r="E8" s="6"/>
      <c r="F8" s="6"/>
      <c r="G8" s="6"/>
    </row>
    <row r="9" spans="1:10" ht="13.5" thickBot="1" x14ac:dyDescent="0.25"/>
    <row r="10" spans="1:10" ht="18" x14ac:dyDescent="0.25">
      <c r="A10" s="406" t="s">
        <v>276</v>
      </c>
      <c r="B10" s="407"/>
      <c r="C10" s="408"/>
    </row>
    <row r="11" spans="1:10" s="272" customFormat="1" ht="18" x14ac:dyDescent="0.25">
      <c r="A11" s="287"/>
      <c r="B11" s="286"/>
      <c r="C11" s="288"/>
    </row>
    <row r="12" spans="1:10" s="102" customFormat="1" ht="15" x14ac:dyDescent="0.25">
      <c r="A12" s="273" t="s">
        <v>277</v>
      </c>
      <c r="B12" s="274" t="s">
        <v>257</v>
      </c>
      <c r="C12" s="275" t="s">
        <v>135</v>
      </c>
    </row>
    <row r="13" spans="1:10" ht="14.25" x14ac:dyDescent="0.2">
      <c r="A13" s="276" t="s">
        <v>265</v>
      </c>
      <c r="B13" s="277" t="s">
        <v>258</v>
      </c>
      <c r="C13" s="196">
        <v>12726</v>
      </c>
      <c r="J13" s="367"/>
    </row>
    <row r="14" spans="1:10" ht="14.25" x14ac:dyDescent="0.2">
      <c r="A14" s="195" t="s">
        <v>266</v>
      </c>
      <c r="B14" s="278" t="s">
        <v>263</v>
      </c>
      <c r="C14" s="279">
        <v>0.3</v>
      </c>
    </row>
    <row r="15" spans="1:10" ht="14.25" x14ac:dyDescent="0.2">
      <c r="A15" s="195" t="s">
        <v>267</v>
      </c>
      <c r="B15" s="278" t="s">
        <v>264</v>
      </c>
      <c r="C15" s="332">
        <f>C13*C14/1000</f>
        <v>3.8177999999999996</v>
      </c>
    </row>
    <row r="16" spans="1:10" ht="14.25" x14ac:dyDescent="0.2">
      <c r="A16" s="195" t="s">
        <v>273</v>
      </c>
      <c r="B16" s="278" t="s">
        <v>259</v>
      </c>
      <c r="C16" s="281">
        <v>59.55</v>
      </c>
    </row>
    <row r="17" spans="1:3" ht="14.25" x14ac:dyDescent="0.2">
      <c r="A17" s="195" t="s">
        <v>269</v>
      </c>
      <c r="B17" s="278" t="s">
        <v>92</v>
      </c>
      <c r="C17" s="284">
        <v>5</v>
      </c>
    </row>
    <row r="18" spans="1:3" ht="14.25" x14ac:dyDescent="0.2">
      <c r="A18" s="195" t="s">
        <v>268</v>
      </c>
      <c r="B18" s="278" t="s">
        <v>264</v>
      </c>
      <c r="C18" s="280">
        <f>IFERROR(C15*7/C17,0)</f>
        <v>5.3449200000000001</v>
      </c>
    </row>
    <row r="19" spans="1:3" ht="14.25" x14ac:dyDescent="0.2">
      <c r="A19" s="276" t="s">
        <v>260</v>
      </c>
      <c r="B19" s="278" t="s">
        <v>261</v>
      </c>
      <c r="C19" s="218">
        <v>500</v>
      </c>
    </row>
    <row r="20" spans="1:3" ht="14.25" x14ac:dyDescent="0.2">
      <c r="A20" s="195" t="s">
        <v>274</v>
      </c>
      <c r="B20" s="278"/>
      <c r="C20" s="196">
        <v>1</v>
      </c>
    </row>
    <row r="21" spans="1:3" ht="14.25" x14ac:dyDescent="0.2">
      <c r="A21" s="276" t="s">
        <v>275</v>
      </c>
      <c r="B21" s="278" t="s">
        <v>262</v>
      </c>
      <c r="C21" s="196">
        <v>15</v>
      </c>
    </row>
    <row r="22" spans="1:3" ht="14.25" x14ac:dyDescent="0.2">
      <c r="A22" s="195" t="s">
        <v>270</v>
      </c>
      <c r="B22" s="278" t="s">
        <v>259</v>
      </c>
      <c r="C22" s="218">
        <f>IF(AND(C21&gt;=15,C20=1),5.8,C21/2)</f>
        <v>5.8</v>
      </c>
    </row>
    <row r="23" spans="1:3" ht="14.25" x14ac:dyDescent="0.2">
      <c r="A23" s="276" t="s">
        <v>271</v>
      </c>
      <c r="B23" s="278"/>
      <c r="C23" s="280">
        <f>IFERROR(C18/C22,0)</f>
        <v>0.92153793103448278</v>
      </c>
    </row>
    <row r="24" spans="1:3" ht="14.25" x14ac:dyDescent="0.2">
      <c r="A24" s="276" t="s">
        <v>278</v>
      </c>
      <c r="B24" s="278"/>
      <c r="C24" s="289">
        <v>1</v>
      </c>
    </row>
    <row r="25" spans="1:3" ht="15" thickBot="1" x14ac:dyDescent="0.25">
      <c r="A25" s="282" t="s">
        <v>272</v>
      </c>
      <c r="B25" s="283"/>
      <c r="C25" s="285">
        <f>IFERROR(C23/C24,0)</f>
        <v>0.92153793103448278</v>
      </c>
    </row>
    <row r="26" spans="1:3" ht="14.25" x14ac:dyDescent="0.2">
      <c r="A26" s="302"/>
      <c r="B26" s="205"/>
      <c r="C26" s="303"/>
    </row>
    <row r="27" spans="1:3" ht="14.25" x14ac:dyDescent="0.2">
      <c r="A27" s="302" t="s">
        <v>294</v>
      </c>
    </row>
    <row r="28" spans="1:3" x14ac:dyDescent="0.2">
      <c r="A28" s="266" t="s">
        <v>295</v>
      </c>
    </row>
    <row r="29" spans="1:3" x14ac:dyDescent="0.2">
      <c r="A29" s="266" t="s">
        <v>296</v>
      </c>
    </row>
    <row r="30" spans="1:3" x14ac:dyDescent="0.2">
      <c r="A30" s="266" t="s">
        <v>292</v>
      </c>
    </row>
    <row r="31" spans="1:3" x14ac:dyDescent="0.2">
      <c r="A31" s="266" t="s">
        <v>297</v>
      </c>
    </row>
    <row r="32" spans="1:3" x14ac:dyDescent="0.2">
      <c r="A32" s="266" t="s">
        <v>298</v>
      </c>
    </row>
    <row r="33" spans="1:1" x14ac:dyDescent="0.2">
      <c r="A33" s="266" t="s">
        <v>299</v>
      </c>
    </row>
    <row r="34" spans="1:1" x14ac:dyDescent="0.2">
      <c r="A34" s="266" t="s">
        <v>300</v>
      </c>
    </row>
    <row r="35" spans="1:1" x14ac:dyDescent="0.2">
      <c r="A35" s="266" t="s">
        <v>293</v>
      </c>
    </row>
  </sheetData>
  <mergeCells count="1">
    <mergeCell ref="A10:C10"/>
  </mergeCells>
  <conditionalFormatting sqref="C22">
    <cfRule type="expression" dxfId="0" priority="1">
      <formula>"SE(E(C20&gt;=15;C19=1))"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5</vt:i4>
      </vt:variant>
    </vt:vector>
  </HeadingPairs>
  <TitlesOfParts>
    <vt:vector size="13" baseType="lpstr">
      <vt:lpstr>1. Coleta Domiciliar Ajust</vt:lpstr>
      <vt:lpstr>2.Encargos Sociais Ajust</vt:lpstr>
      <vt:lpstr>3.CAGED</vt:lpstr>
      <vt:lpstr>4.BDI Ajus</vt:lpstr>
      <vt:lpstr>Ton</vt:lpstr>
      <vt:lpstr>6. Depreciação</vt:lpstr>
      <vt:lpstr>7.Remuneração de capital</vt:lpstr>
      <vt:lpstr>8. Dimensionamento</vt:lpstr>
      <vt:lpstr>AbaDeprec</vt:lpstr>
      <vt:lpstr>AbaRemun</vt:lpstr>
      <vt:lpstr>'1. Coleta Domiciliar Ajust'!Area_de_impressao</vt:lpstr>
      <vt:lpstr>'2.Encargos Sociais Ajust'!Area_de_impressao</vt:lpstr>
      <vt:lpstr>'1. Coleta Domiciliar Ajust'!Titulos_de_impressao</vt:lpstr>
    </vt:vector>
  </TitlesOfParts>
  <Company>dmlu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Coleta e Transporte RSU</dc:title>
  <dc:creator>Flavia Burmeister Martins</dc:creator>
  <cp:lastModifiedBy>Acer</cp:lastModifiedBy>
  <cp:lastPrinted>2021-08-22T23:31:05Z</cp:lastPrinted>
  <dcterms:created xsi:type="dcterms:W3CDTF">2000-12-13T10:02:50Z</dcterms:created>
  <dcterms:modified xsi:type="dcterms:W3CDTF">2021-08-23T07:52:28Z</dcterms:modified>
</cp:coreProperties>
</file>